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edingroup-my.sharepoint.com/personal/rob_edin_co_nz/Documents/Shared files/ANOP Tool for Development Consents/"/>
    </mc:Choice>
  </mc:AlternateContent>
  <xr:revisionPtr revIDLastSave="258" documentId="13_ncr:1_{48945975-1581-41A9-98AE-CDFCBEB9E267}" xr6:coauthVersionLast="47" xr6:coauthVersionMax="47" xr10:uidLastSave="{E2148C40-45A6-474B-B356-A1F98E465CE9}"/>
  <workbookProtection workbookAlgorithmName="SHA-512" workbookHashValue="jwT1tIuZN0AZTnTy6ltyFMG7WIPmaBFHryO33AvXJs5gEhiLA7XvD5DrZ8tuuJ1rDJyHsTCjpcrBl8r0udeXSw==" workbookSaltValue="UTuug8HbxIDs3soRmW1WMA==" workbookSpinCount="100000" lockStructure="1"/>
  <bookViews>
    <workbookView xWindow="1520" yWindow="1520" windowWidth="23020" windowHeight="17460" xr2:uid="{25EEBA5F-6BF8-403C-9412-711DEC7D34F7}"/>
  </bookViews>
  <sheets>
    <sheet name="ANOP Assessment v1.0" sheetId="15" r:id="rId1"/>
    <sheet name="Results - tabular format" sheetId="19" r:id="rId2"/>
    <sheet name="Preferred LOS" sheetId="17" state="hidden" r:id="rId3"/>
    <sheet name="User Guide" sheetId="20" r:id="rId4"/>
    <sheet name="Data validation" sheetId="7" state="hidden" r:id="rId5"/>
    <sheet name="Example assessment" sheetId="21" r:id="rId6"/>
    <sheet name="Questions &amp; Update notes" sheetId="18" state="hidden" r:id="rId7"/>
  </sheets>
  <definedNames>
    <definedName name="_xlnm.Print_Area" localSheetId="0">'ANOP Assessment v1.0'!$A$16:$O$61</definedName>
    <definedName name="_xlnm.Print_Area" localSheetId="5">'Example assessment'!$A$16:$O$59</definedName>
    <definedName name="_xlnm.Print_Area" localSheetId="3">'User Guide'!$A$1:$C$93</definedName>
    <definedName name="_xlnm.Print_Titles" localSheetId="0">'ANOP Assessment v1.0'!$1:$1</definedName>
    <definedName name="_xlnm.Print_Titles" localSheetId="5">'Example assessment'!$1:$1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7" l="1"/>
  <c r="K5" i="7"/>
  <c r="K6" i="7"/>
  <c r="I5" i="7"/>
  <c r="I46" i="15"/>
  <c r="I47" i="15" l="1"/>
  <c r="I48" i="15"/>
  <c r="I49" i="15"/>
  <c r="I45" i="15"/>
  <c r="C46" i="15"/>
  <c r="C47" i="15"/>
  <c r="C48" i="15"/>
  <c r="C49" i="15"/>
  <c r="C45" i="15"/>
  <c r="C45" i="21" l="1"/>
  <c r="B57" i="21"/>
  <c r="B54" i="21"/>
  <c r="I49" i="21"/>
  <c r="C49" i="21"/>
  <c r="I48" i="21"/>
  <c r="C48" i="21"/>
  <c r="I47" i="21"/>
  <c r="C47" i="21"/>
  <c r="I46" i="21"/>
  <c r="C46" i="21"/>
  <c r="I45" i="21"/>
  <c r="AZ39" i="21"/>
  <c r="AX39" i="21"/>
  <c r="AZ38" i="21"/>
  <c r="AX38" i="21"/>
  <c r="AZ37" i="21"/>
  <c r="AX37" i="21"/>
  <c r="AZ36" i="21"/>
  <c r="AX36" i="21"/>
  <c r="AZ35" i="21"/>
  <c r="AX35" i="21"/>
  <c r="AX32" i="21"/>
  <c r="AX31" i="21"/>
  <c r="AM31" i="21"/>
  <c r="AG31" i="21"/>
  <c r="AU41" i="21" s="1"/>
  <c r="AD31" i="21"/>
  <c r="AX30" i="21"/>
  <c r="AM30" i="21"/>
  <c r="AG30" i="21"/>
  <c r="AU40" i="21" s="1"/>
  <c r="AD30" i="21"/>
  <c r="AX29" i="21"/>
  <c r="AG29" i="21"/>
  <c r="AL29" i="21" s="1"/>
  <c r="AX28" i="21"/>
  <c r="AG28" i="21"/>
  <c r="AL28" i="21" s="1"/>
  <c r="AQ28" i="21" s="1"/>
  <c r="AX27" i="21"/>
  <c r="AG27" i="21"/>
  <c r="AL27" i="21" s="1"/>
  <c r="AM27" i="21" s="1"/>
  <c r="AX26" i="21"/>
  <c r="AL26" i="21"/>
  <c r="AQ26" i="21" s="1"/>
  <c r="AG26" i="21"/>
  <c r="AX25" i="21"/>
  <c r="AL25" i="21"/>
  <c r="AM25" i="21" s="1"/>
  <c r="AG25" i="21"/>
  <c r="A1" i="21"/>
  <c r="AM28" i="21" l="1"/>
  <c r="AT40" i="21"/>
  <c r="AQ25" i="21"/>
  <c r="AP25" i="21"/>
  <c r="AU35" i="21"/>
  <c r="AT35" i="21"/>
  <c r="AU37" i="21"/>
  <c r="AT37" i="21"/>
  <c r="AM29" i="21"/>
  <c r="AQ29" i="21"/>
  <c r="AP29" i="21"/>
  <c r="AM26" i="21"/>
  <c r="AP28" i="21"/>
  <c r="AP27" i="21"/>
  <c r="AP26" i="21"/>
  <c r="AQ27" i="21"/>
  <c r="AT41" i="21"/>
  <c r="AT38" i="21" l="1"/>
  <c r="AU38" i="21"/>
  <c r="AQ33" i="21"/>
  <c r="AU36" i="21"/>
  <c r="AT36" i="21"/>
  <c r="AP33" i="21"/>
  <c r="AD54" i="21" s="1"/>
  <c r="AU39" i="21"/>
  <c r="AT39" i="21"/>
  <c r="AD29" i="15"/>
  <c r="AD28" i="15"/>
  <c r="AD27" i="15"/>
  <c r="AD25" i="15"/>
  <c r="AD26" i="15"/>
  <c r="C3" i="19"/>
  <c r="C7" i="19"/>
  <c r="C6" i="19"/>
  <c r="C5" i="19"/>
  <c r="C4" i="19"/>
  <c r="BC35" i="15"/>
  <c r="BC36" i="15"/>
  <c r="BC37" i="15"/>
  <c r="BC38" i="15"/>
  <c r="BC39" i="15"/>
  <c r="BA31" i="15"/>
  <c r="BA32" i="15"/>
  <c r="BA35" i="15"/>
  <c r="BA36" i="15"/>
  <c r="BA37" i="15"/>
  <c r="BA38" i="15"/>
  <c r="BA39" i="15"/>
  <c r="BA26" i="15"/>
  <c r="BA27" i="15"/>
  <c r="BA28" i="15"/>
  <c r="BA29" i="15"/>
  <c r="BA30" i="15"/>
  <c r="BA25" i="15"/>
  <c r="Q8" i="7"/>
  <c r="A1" i="15"/>
  <c r="AE54" i="21" l="1"/>
  <c r="O54" i="21"/>
  <c r="B54" i="15"/>
  <c r="K11" i="7" l="1"/>
  <c r="K10" i="7"/>
  <c r="K9" i="7"/>
  <c r="K8" i="7"/>
  <c r="K7" i="7"/>
  <c r="AB5" i="7"/>
  <c r="AB6" i="7"/>
  <c r="AB7" i="7"/>
  <c r="AB8" i="7" s="1"/>
  <c r="AB4" i="7"/>
  <c r="AD25" i="21" s="1"/>
  <c r="AF25" i="21" s="1"/>
  <c r="AE25" i="21" s="1"/>
  <c r="W5" i="7"/>
  <c r="W6" i="7"/>
  <c r="W7" i="7"/>
  <c r="W8" i="7"/>
  <c r="W9" i="7"/>
  <c r="W4" i="7"/>
  <c r="AD29" i="21" s="1"/>
  <c r="AF29" i="21" s="1"/>
  <c r="AE29" i="21" s="1"/>
  <c r="Q5" i="7"/>
  <c r="Q6" i="7"/>
  <c r="Q7" i="7"/>
  <c r="Q9" i="7"/>
  <c r="Q10" i="7"/>
  <c r="Q11" i="7"/>
  <c r="Q12" i="7"/>
  <c r="Q4" i="7"/>
  <c r="AD28" i="21" s="1"/>
  <c r="AF28" i="21" s="1"/>
  <c r="AE28" i="21" s="1"/>
  <c r="K4" i="7"/>
  <c r="AD27" i="21" s="1"/>
  <c r="AF27" i="21" s="1"/>
  <c r="AE27" i="21" s="1"/>
  <c r="D39" i="21" l="1"/>
  <c r="AY39" i="21" s="1"/>
  <c r="AI29" i="21"/>
  <c r="AJ29" i="21" s="1"/>
  <c r="AI28" i="21"/>
  <c r="AJ28" i="21" s="1"/>
  <c r="D38" i="21"/>
  <c r="AY38" i="21" s="1"/>
  <c r="AI25" i="21"/>
  <c r="AJ25" i="21" s="1"/>
  <c r="D35" i="21"/>
  <c r="AY35" i="21" s="1"/>
  <c r="D37" i="21"/>
  <c r="AY37" i="21" s="1"/>
  <c r="AI27" i="21"/>
  <c r="AJ27" i="21" s="1"/>
  <c r="AN30" i="15"/>
  <c r="B57" i="15"/>
  <c r="AN31" i="15"/>
  <c r="E9" i="7"/>
  <c r="E8" i="7"/>
  <c r="E7" i="7"/>
  <c r="E6" i="7"/>
  <c r="E5" i="7"/>
  <c r="AD26" i="21" s="1"/>
  <c r="AF26" i="21" s="1"/>
  <c r="AE26" i="21" s="1"/>
  <c r="E4" i="7"/>
  <c r="AH28" i="21" l="1"/>
  <c r="AK28" i="21"/>
  <c r="AN28" i="21"/>
  <c r="AI26" i="21"/>
  <c r="AJ26" i="21" s="1"/>
  <c r="D36" i="21"/>
  <c r="AY36" i="21" s="1"/>
  <c r="AZ24" i="21" s="1"/>
  <c r="AN25" i="21"/>
  <c r="AK25" i="21"/>
  <c r="AH25" i="21"/>
  <c r="AK29" i="21"/>
  <c r="AN29" i="21"/>
  <c r="AH29" i="21"/>
  <c r="AO29" i="21" s="1"/>
  <c r="AK27" i="21"/>
  <c r="AH27" i="21"/>
  <c r="AN27" i="21"/>
  <c r="AD59" i="21"/>
  <c r="AD31" i="15"/>
  <c r="AD30" i="15"/>
  <c r="AO28" i="21" l="1"/>
  <c r="AK26" i="21"/>
  <c r="AN26" i="21"/>
  <c r="AN33" i="21" s="1"/>
  <c r="AH26" i="21"/>
  <c r="AO25" i="21"/>
  <c r="AO27" i="21"/>
  <c r="AE59" i="21"/>
  <c r="O59" i="21"/>
  <c r="AG25" i="15"/>
  <c r="AG26" i="15"/>
  <c r="AG27" i="15"/>
  <c r="AG28" i="15"/>
  <c r="AG29" i="15"/>
  <c r="AG30" i="15"/>
  <c r="AG31" i="15"/>
  <c r="AO26" i="21" l="1"/>
  <c r="AH33" i="21"/>
  <c r="AO33" i="21"/>
  <c r="AD55" i="21" s="1"/>
  <c r="AD56" i="21"/>
  <c r="O56" i="21" s="1"/>
  <c r="AO34" i="21"/>
  <c r="AD58" i="21" s="1"/>
  <c r="AM28" i="15"/>
  <c r="AT28" i="15" s="1"/>
  <c r="D6" i="19"/>
  <c r="AM29" i="15"/>
  <c r="AT29" i="15" s="1"/>
  <c r="D7" i="19"/>
  <c r="AM25" i="15"/>
  <c r="D3" i="19"/>
  <c r="AM27" i="15"/>
  <c r="AT27" i="15" s="1"/>
  <c r="D5" i="19"/>
  <c r="AM26" i="15"/>
  <c r="AS26" i="15" s="1"/>
  <c r="D4" i="19"/>
  <c r="AW40" i="15"/>
  <c r="AX40" i="15"/>
  <c r="AW41" i="15"/>
  <c r="AX41" i="15"/>
  <c r="C19" i="7"/>
  <c r="C18" i="7"/>
  <c r="U4" i="7"/>
  <c r="O58" i="21" l="1"/>
  <c r="AE58" i="21"/>
  <c r="AE55" i="21"/>
  <c r="O55" i="21"/>
  <c r="AD57" i="21"/>
  <c r="I6" i="19"/>
  <c r="AN28" i="15"/>
  <c r="AS28" i="15"/>
  <c r="I7" i="19"/>
  <c r="AN29" i="15"/>
  <c r="AS29" i="15"/>
  <c r="AN25" i="15"/>
  <c r="I3" i="19"/>
  <c r="AS25" i="15"/>
  <c r="AT25" i="15"/>
  <c r="AS27" i="15"/>
  <c r="AN27" i="15"/>
  <c r="I5" i="19"/>
  <c r="AT26" i="15"/>
  <c r="AN26" i="15"/>
  <c r="I4" i="19"/>
  <c r="B18" i="7"/>
  <c r="AE57" i="21" l="1"/>
  <c r="AE60" i="21" s="1"/>
  <c r="J37" i="21" s="1"/>
  <c r="O57" i="21"/>
  <c r="H6" i="19"/>
  <c r="H7" i="19"/>
  <c r="AW38" i="15"/>
  <c r="AX38" i="15"/>
  <c r="AX39" i="15"/>
  <c r="AW39" i="15"/>
  <c r="AT33" i="15"/>
  <c r="AS33" i="15"/>
  <c r="H3" i="19"/>
  <c r="AW35" i="15"/>
  <c r="AX35" i="15"/>
  <c r="H5" i="19"/>
  <c r="AX37" i="15"/>
  <c r="AW37" i="15"/>
  <c r="H4" i="19"/>
  <c r="AX36" i="15"/>
  <c r="AW36" i="15"/>
  <c r="AD54" i="15" l="1"/>
  <c r="AE54" i="15" s="1"/>
  <c r="O54" i="15" l="1"/>
  <c r="AF28" i="15"/>
  <c r="G6" i="19" s="1"/>
  <c r="AF29" i="15"/>
  <c r="G7" i="19" s="1"/>
  <c r="AF27" i="15"/>
  <c r="G5" i="19" s="1"/>
  <c r="AF26" i="15"/>
  <c r="G4" i="19" l="1"/>
  <c r="E5" i="19"/>
  <c r="J5" i="19"/>
  <c r="K5" i="19" s="1"/>
  <c r="E6" i="19"/>
  <c r="J6" i="19"/>
  <c r="K6" i="19" s="1"/>
  <c r="E7" i="19"/>
  <c r="J7" i="19"/>
  <c r="AE26" i="15"/>
  <c r="D36" i="15" s="1"/>
  <c r="AE29" i="15"/>
  <c r="D39" i="15" s="1"/>
  <c r="AE28" i="15"/>
  <c r="D38" i="15" s="1"/>
  <c r="AE27" i="15"/>
  <c r="D37" i="15" s="1"/>
  <c r="K7" i="19" l="1"/>
  <c r="BB36" i="15"/>
  <c r="AJ26" i="15"/>
  <c r="AK26" i="15" s="1"/>
  <c r="AJ28" i="15"/>
  <c r="AK28" i="15" s="1"/>
  <c r="AL28" i="15" s="1"/>
  <c r="BB38" i="15"/>
  <c r="AJ27" i="15"/>
  <c r="AK27" i="15" s="1"/>
  <c r="AL27" i="15" s="1"/>
  <c r="BB37" i="15"/>
  <c r="BB39" i="15"/>
  <c r="AJ29" i="15"/>
  <c r="AK29" i="15" s="1"/>
  <c r="AL29" i="15" s="1"/>
  <c r="F7" i="19"/>
  <c r="F4" i="19"/>
  <c r="F6" i="19"/>
  <c r="F5" i="19"/>
  <c r="O7" i="19"/>
  <c r="L7" i="19"/>
  <c r="N7" i="19" s="1"/>
  <c r="P7" i="19"/>
  <c r="P6" i="19"/>
  <c r="O6" i="19"/>
  <c r="L6" i="19"/>
  <c r="N6" i="19" s="1"/>
  <c r="E4" i="19"/>
  <c r="J4" i="19"/>
  <c r="K4" i="19" s="1"/>
  <c r="P5" i="19"/>
  <c r="O5" i="19"/>
  <c r="L5" i="19"/>
  <c r="Q5" i="19" s="1"/>
  <c r="AQ27" i="15" l="1"/>
  <c r="AI27" i="15"/>
  <c r="AQ28" i="15"/>
  <c r="AI28" i="15"/>
  <c r="AQ29" i="15"/>
  <c r="AI29" i="15"/>
  <c r="AL26" i="15"/>
  <c r="AH26" i="15"/>
  <c r="AO26" i="15"/>
  <c r="AH29" i="15"/>
  <c r="AO29" i="15"/>
  <c r="AH27" i="15"/>
  <c r="AO27" i="15"/>
  <c r="AH28" i="15"/>
  <c r="AO28" i="15"/>
  <c r="R7" i="19"/>
  <c r="Q7" i="19"/>
  <c r="L4" i="19"/>
  <c r="N4" i="19" s="1"/>
  <c r="P4" i="19"/>
  <c r="O4" i="19"/>
  <c r="R6" i="19"/>
  <c r="R5" i="19"/>
  <c r="N5" i="19"/>
  <c r="Q6" i="19"/>
  <c r="AQ26" i="15" l="1"/>
  <c r="AI26" i="15"/>
  <c r="AR27" i="15"/>
  <c r="AV27" i="15" s="1"/>
  <c r="AR29" i="15"/>
  <c r="AV29" i="15" s="1"/>
  <c r="AR28" i="15"/>
  <c r="AV28" i="15" s="1"/>
  <c r="M7" i="19"/>
  <c r="AP26" i="15"/>
  <c r="AP27" i="15"/>
  <c r="AU27" i="15" s="1"/>
  <c r="AP28" i="15"/>
  <c r="AU28" i="15" s="1"/>
  <c r="AP29" i="15"/>
  <c r="M5" i="19"/>
  <c r="M6" i="19"/>
  <c r="R4" i="19"/>
  <c r="Q4" i="19"/>
  <c r="AU26" i="15" l="1"/>
  <c r="AU29" i="15"/>
  <c r="AR26" i="15"/>
  <c r="AV26" i="15" s="1"/>
  <c r="M4" i="19"/>
  <c r="AF25" i="15" l="1"/>
  <c r="G3" i="19" l="1"/>
  <c r="AE25" i="15"/>
  <c r="D35" i="15" s="1"/>
  <c r="BB35" i="15" l="1"/>
  <c r="BC24" i="15" s="1"/>
  <c r="AJ25" i="15"/>
  <c r="AK25" i="15" s="1"/>
  <c r="AH25" i="15" s="1"/>
  <c r="F3" i="19"/>
  <c r="E3" i="19"/>
  <c r="J3" i="19"/>
  <c r="C11" i="19" s="1"/>
  <c r="AL25" i="15" l="1"/>
  <c r="AO25" i="15"/>
  <c r="AO33" i="15" s="1"/>
  <c r="K3" i="19"/>
  <c r="J43" i="15"/>
  <c r="P3" i="19"/>
  <c r="O3" i="19"/>
  <c r="L3" i="19"/>
  <c r="N3" i="19" s="1"/>
  <c r="AP25" i="15" l="1"/>
  <c r="AQ25" i="15"/>
  <c r="AI25" i="15"/>
  <c r="AH33" i="15"/>
  <c r="R3" i="19"/>
  <c r="Q3" i="19"/>
  <c r="M3" i="19" s="1"/>
  <c r="AR25" i="15" l="1"/>
  <c r="AP34" i="15"/>
  <c r="AD58" i="15" s="1"/>
  <c r="AE58" i="15" s="1"/>
  <c r="AD56" i="15"/>
  <c r="O56" i="15" s="1"/>
  <c r="AP33" i="15"/>
  <c r="AV25" i="15" l="1"/>
  <c r="AV33" i="15" s="1"/>
  <c r="K60" i="15" s="1"/>
  <c r="AU25" i="15"/>
  <c r="AU33" i="15" s="1"/>
  <c r="K61" i="15" s="1"/>
  <c r="AD55" i="15"/>
  <c r="O58" i="15" l="1"/>
  <c r="O55" i="15"/>
  <c r="AD57" i="15"/>
  <c r="AE55" i="15"/>
  <c r="AE57" i="15" l="1"/>
  <c r="AE62" i="15" s="1"/>
  <c r="J37" i="15" s="1"/>
  <c r="C8" i="19" s="1"/>
  <c r="O57" i="15"/>
  <c r="AD59" i="15" l="1"/>
  <c r="AE59" i="15" s="1"/>
  <c r="O5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tc={DE5CB670-0C4F-4038-A44A-66D4C04C2F8B}</author>
    <author>tc={32194B4E-D86B-4290-9C04-B30CF919A56C}</author>
  </authors>
  <commentList>
    <comment ref="P10" authorId="0" shapeId="0" xr:uid="{DE5CB670-0C4F-4038-A44A-66D4C04C2F8B}">
      <text>
        <t>[Threaded comment]
Your version of Excel allows you to read this threaded comment; however, any edits to it will get removed if the file is opened in a newer version of Excel. Learn more: https://go.microsoft.com/fwlink/?linkid=870924
Comment:
    E feels too low for an FTN</t>
      </text>
    </comment>
    <comment ref="Q15" authorId="1" shapeId="0" xr:uid="{32194B4E-D86B-4290-9C04-B30CF919A56C}">
      <text>
        <t>[Threaded comment]
Your version of Excel allows you to read this threaded comment; however, any edits to it will get removed if the file is opened in a newer version of Excel. Learn more: https://go.microsoft.com/fwlink/?linkid=870924
Comment:
    Shouldn't freight get a better LoS during interpeak on the Freight network?</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<sst xmlns="http://schemas.openxmlformats.org/spreadsheetml/2006/main" count="1306" uniqueCount="616">
  <si>
    <t>What is this tool for?</t>
  </si>
  <si>
    <t>Enter your project information into the grey cells, as per the step-by-step instructions below.</t>
  </si>
  <si>
    <t>Enter your data in the grey cells</t>
  </si>
  <si>
    <t>1. Enter the project information: project name, location, option, date of assessment and your name.</t>
  </si>
  <si>
    <t>2. Fill out the form with the Strategic Network hierarchies and Land Use from Future Connect. This information is used to determine the Preferred Levels of Service (LOS) (see notes 4a. and 4b. below for further details). You can manually override these targets, if required, at step 4.</t>
  </si>
  <si>
    <t>Link to Future Connect Mapping Portal</t>
  </si>
  <si>
    <t xml:space="preserve">3. Enter the baseline (existing or before) levels of service for each mode (A to F). For Level of Service (LOS) definitions for each mode please refer to pages 10 and 11 of 'Application of the Auckland Network Operating Plan', August 2022, which is available on AT's ANOP webpage. </t>
  </si>
  <si>
    <t>Link to the ANOP webpage</t>
  </si>
  <si>
    <t>4a. The Preferred LOS is calculated automatically from the ANOP Preferred LOS. Refer to the table at the bottom of this sheet for Preferred LOS for each mode.</t>
  </si>
  <si>
    <t>4b. Optional - The Preferred LOS can be manually overridden in this column. Leave blank or select "Use ANOP" to use ANOP preferred LOS, or enter your desired preferred LOS. To depart from the ANOP preferred LOS please ensure you provide justification in the Notes section below.</t>
  </si>
  <si>
    <t>5. Enter the Project Impact (Negative, Positive, etc), or the Levels of Service (A to F).</t>
  </si>
  <si>
    <t>Graph axis headings</t>
  </si>
  <si>
    <t>6. Record notes to explain how you derived the LOS for each mode in the table below. These are free text fields.</t>
  </si>
  <si>
    <t>7. The Fit Assessment Result will be shown in and below the graph, and the criteria used to determine the result are shown in "Fit Assessment Result" table below.</t>
  </si>
  <si>
    <t>Walk</t>
  </si>
  <si>
    <t>Cycle</t>
  </si>
  <si>
    <t>1.</t>
  </si>
  <si>
    <t>Project Name</t>
  </si>
  <si>
    <t>PT</t>
  </si>
  <si>
    <t>Project information</t>
  </si>
  <si>
    <t>Location / scope of assessment</t>
  </si>
  <si>
    <t>Freight</t>
  </si>
  <si>
    <t>Option Ref.</t>
  </si>
  <si>
    <t>Gnrl Trfc</t>
  </si>
  <si>
    <t>Date of assessment</t>
  </si>
  <si>
    <t>Assessor name</t>
  </si>
  <si>
    <t>Anon</t>
  </si>
  <si>
    <t>Loading</t>
  </si>
  <si>
    <t>Parking</t>
  </si>
  <si>
    <t>2.</t>
  </si>
  <si>
    <t>ANOP Preferred LOS (base)</t>
  </si>
  <si>
    <t>ANOP Preferred LOS (adjusted)</t>
  </si>
  <si>
    <t>ANOP Preferred LOS Score (adjusted)</t>
  </si>
  <si>
    <t>Baseline LOS Score</t>
  </si>
  <si>
    <t>Baseline LOS Deficit to Preferred LOS</t>
  </si>
  <si>
    <t>Baseline LOS Deficit to Acceptable LOS</t>
  </si>
  <si>
    <t>Preferred LOS</t>
  </si>
  <si>
    <t>Preferred LOS Score</t>
  </si>
  <si>
    <t>Acceptable LOS lower range score</t>
  </si>
  <si>
    <t>Project LOS Score</t>
  </si>
  <si>
    <t>Adjusted Project LOS Score</t>
  </si>
  <si>
    <t>Project LOS Deficit to Preferred LOS</t>
  </si>
  <si>
    <t>Change in deficit to Preferred LOS</t>
  </si>
  <si>
    <t>Project LOS Deficit to Acceptable LOS</t>
  </si>
  <si>
    <t>Change in deficit to Acceptable LOS</t>
  </si>
  <si>
    <t>Mode is improved</t>
  </si>
  <si>
    <t>Mode deteriorates</t>
  </si>
  <si>
    <t>Which modes get worse compared to Preferred LOS</t>
  </si>
  <si>
    <t>Which modes get worse compared to Acceptable LOS</t>
  </si>
  <si>
    <t>Check form completion</t>
  </si>
  <si>
    <t>Strategic  Networks &amp; Land Use</t>
  </si>
  <si>
    <t>Walking Network</t>
  </si>
  <si>
    <t>Primary</t>
  </si>
  <si>
    <t>Walking</t>
  </si>
  <si>
    <t>Cycle Network</t>
  </si>
  <si>
    <t>Regional</t>
  </si>
  <si>
    <t>Cycle &amp; Micro-Mobility</t>
  </si>
  <si>
    <t>Public Transport Network</t>
  </si>
  <si>
    <t>Frequent Transit Network</t>
  </si>
  <si>
    <t>Public Transport</t>
  </si>
  <si>
    <t>Freight Network</t>
  </si>
  <si>
    <t>Level 2</t>
  </si>
  <si>
    <t xml:space="preserve">General Traffic Network </t>
  </si>
  <si>
    <t>Primary Arterial</t>
  </si>
  <si>
    <t>General Traffic</t>
  </si>
  <si>
    <t>Land Use (AUP)</t>
  </si>
  <si>
    <t>Centre - Town &amp; Local Centre Zone</t>
  </si>
  <si>
    <t>N/A</t>
  </si>
  <si>
    <t>Land Use</t>
  </si>
  <si>
    <t>Totals</t>
  </si>
  <si>
    <t>Difference - Base to Assessed</t>
  </si>
  <si>
    <t>Levels of Service</t>
  </si>
  <si>
    <t>3. Baseline LOS</t>
  </si>
  <si>
    <t>4a. ANOP Preferred LOS 
(Acceptable LOS)</t>
  </si>
  <si>
    <t>4b. Manual Preferred LOS</t>
  </si>
  <si>
    <t>5. Project Impact or LOS</t>
  </si>
  <si>
    <t>Negative</t>
  </si>
  <si>
    <t>Positive</t>
  </si>
  <si>
    <t>B</t>
  </si>
  <si>
    <t>Use ANOP</t>
  </si>
  <si>
    <t>Neutral</t>
  </si>
  <si>
    <t>F</t>
  </si>
  <si>
    <t>7. Fit Assessment Result</t>
  </si>
  <si>
    <t>D</t>
  </si>
  <si>
    <t>Loading    * placeholder *</t>
  </si>
  <si>
    <t>Parking    * placeholder *</t>
  </si>
  <si>
    <t>6. Notes</t>
  </si>
  <si>
    <t>Existing LOS</t>
  </si>
  <si>
    <t>How Existing LOS were derived, notes</t>
  </si>
  <si>
    <t>Project Impact or LOS</t>
  </si>
  <si>
    <t>How Project Impact or LOS were derived, notes</t>
  </si>
  <si>
    <t>Cycling</t>
  </si>
  <si>
    <t>Additional notes</t>
  </si>
  <si>
    <t>Conclusions</t>
  </si>
  <si>
    <t>7.</t>
  </si>
  <si>
    <t>Assessment Result</t>
  </si>
  <si>
    <t>Criteria</t>
  </si>
  <si>
    <t>Fit Assessment Result</t>
  </si>
  <si>
    <t>a. At least one mode LOS is improved and no mode LOS deteriorates,</t>
  </si>
  <si>
    <t>OR</t>
  </si>
  <si>
    <t>High likelihood</t>
  </si>
  <si>
    <t>b. Sum of LOS deficits to Preferred LOS is reduced,</t>
  </si>
  <si>
    <t>AND</t>
  </si>
  <si>
    <t>c. No single mode LOS deteriorates and is below Preferred LOS.</t>
  </si>
  <si>
    <t>a. Sum of LOS deficits to Preferred LOS is reduced,</t>
  </si>
  <si>
    <t>Med likelihood</t>
  </si>
  <si>
    <t xml:space="preserve">b. No increase in to LOS deficit to Preferred LOS for any mode. </t>
  </si>
  <si>
    <t>Low likelihood of supporting the Auckland Network Operating Plan (ANOP) and Future Connect</t>
  </si>
  <si>
    <t xml:space="preserve">   Any other result.</t>
  </si>
  <si>
    <t>Low Likelihood</t>
  </si>
  <si>
    <t>Which modes are impacted?</t>
  </si>
  <si>
    <t>Below acceptable:</t>
  </si>
  <si>
    <t>Below preferred:</t>
  </si>
  <si>
    <t>Outcome</t>
  </si>
  <si>
    <t>* For Level of Service Definitions for each mode please refer to pages 10 and 11 of</t>
  </si>
  <si>
    <t>Application of the Auckland Network Operating Plan, August 2022</t>
  </si>
  <si>
    <t>- This assessment tool is designed to provide an indicative evaluation of whether a project or option is well aligned with AT's strategic direction (including the Auckland Network Operating Plan, Future Connect and the Roads and Streets Framework).
- This is not intended to be used to rank projects or options, nor provide an indication of value for money, but it will show whether the project is taking us in the right direction and will show what modes the project it is addressing.
- The evaluation of Baseline LOS and project impacts should be carried out in consultation with relevant subject matter experts.</t>
  </si>
  <si>
    <t>Click here for more information about the Auckland Network Operating Plan</t>
  </si>
  <si>
    <t>Click here for more information on Future Connect - Auckland Transport's Network Plan</t>
  </si>
  <si>
    <t>- Where the Preferred LOS is calculated by the tool, these values are derived from the Auckland Network Operating Plan, Table 4, with additional Preferred LOS values assigned to non-strategic networks, as shown below.</t>
  </si>
  <si>
    <t>Baseline LOS</t>
  </si>
  <si>
    <t>Baseline LOS (numerical)</t>
  </si>
  <si>
    <t>Baseline deficiency (numerical)</t>
  </si>
  <si>
    <t>Acceptable Target LOS (numerical)</t>
  </si>
  <si>
    <t>Project LOS</t>
  </si>
  <si>
    <t>Project LOS (numerical)</t>
  </si>
  <si>
    <t>Resulting deficiency (numerical)</t>
  </si>
  <si>
    <t>Resulting deficiency</t>
  </si>
  <si>
    <t>Change relative to Acceptable Target LOS (numerical)</t>
  </si>
  <si>
    <t>Change relative to Acceptable Target LOS</t>
  </si>
  <si>
    <t>None</t>
  </si>
  <si>
    <t>Deficiency rectified</t>
  </si>
  <si>
    <t>New deficiency</t>
  </si>
  <si>
    <t>Deficiency exacerbated</t>
  </si>
  <si>
    <t>Deficiency improved</t>
  </si>
  <si>
    <t>Mode</t>
  </si>
  <si>
    <t>Strategic network type</t>
  </si>
  <si>
    <t>In City Centre &amp; Metropolitan Centres</t>
  </si>
  <si>
    <t>In Other Activity Centres</t>
  </si>
  <si>
    <t>Outside Activity Centres</t>
  </si>
  <si>
    <t>WALKING</t>
  </si>
  <si>
    <t>Primary ^</t>
  </si>
  <si>
    <t>Secondary ^</t>
  </si>
  <si>
    <t>Secondary</t>
  </si>
  <si>
    <t>C</t>
  </si>
  <si>
    <t>Tertiary (Supporting)</t>
  </si>
  <si>
    <t>CYCLE &amp; MICRO-MOBILITY</t>
  </si>
  <si>
    <t>Regional ^</t>
  </si>
  <si>
    <t>Major ^</t>
  </si>
  <si>
    <t>Major</t>
  </si>
  <si>
    <t>Connector ^</t>
  </si>
  <si>
    <t>Connector</t>
  </si>
  <si>
    <t>Leisure (Supporting)</t>
  </si>
  <si>
    <t>Local (Supporting)</t>
  </si>
  <si>
    <t>Sports (Supporting)</t>
  </si>
  <si>
    <t>E</t>
  </si>
  <si>
    <t>PUBLIC TRANSPORT</t>
  </si>
  <si>
    <t>Rapid Transit Network ^</t>
  </si>
  <si>
    <t>Rapid Transit Network</t>
  </si>
  <si>
    <t>Frequent Transit Network ^</t>
  </si>
  <si>
    <t>Other Strategic PT Corridors ^</t>
  </si>
  <si>
    <t>Other Strategic PT Corridors</t>
  </si>
  <si>
    <t>Connector Transit Network (Supporting)</t>
  </si>
  <si>
    <t>Local Transit Network (Supporting)</t>
  </si>
  <si>
    <t>Peak Transit Network (Supporting)</t>
  </si>
  <si>
    <t>FREIGHT</t>
  </si>
  <si>
    <t>Level 1A * ^</t>
  </si>
  <si>
    <t>Level 1A</t>
  </si>
  <si>
    <t>Level 1B * ^</t>
  </si>
  <si>
    <t>Level 1B</t>
  </si>
  <si>
    <t>Level 2 * ^</t>
  </si>
  <si>
    <t>Level 3 * ^</t>
  </si>
  <si>
    <t>Level 3</t>
  </si>
  <si>
    <t>Access (Supporting) *</t>
  </si>
  <si>
    <t>Access (Supporting)</t>
  </si>
  <si>
    <t>Overweight &amp; Overdimension only (Supporting) *</t>
  </si>
  <si>
    <t>Overweight &amp; Overdimension only (Supporting)</t>
  </si>
  <si>
    <t>Overdimension only (Supporting) *</t>
  </si>
  <si>
    <t>Overdimension only (Supporting)</t>
  </si>
  <si>
    <t>Overweight only (Supporting) *</t>
  </si>
  <si>
    <t>Overweight only (Supporting)</t>
  </si>
  <si>
    <t>None *</t>
  </si>
  <si>
    <t>GENERAL TRAFFIC</t>
  </si>
  <si>
    <t>Motorway ^</t>
  </si>
  <si>
    <t>Motorway</t>
  </si>
  <si>
    <t>Strategic Arterial * ^</t>
  </si>
  <si>
    <t>Strategic Arterial</t>
  </si>
  <si>
    <t>Primary Arterial * ^</t>
  </si>
  <si>
    <t>Secondary Arterial (Supporting) * ^</t>
  </si>
  <si>
    <t>Secondary Arterial (Supporting)</t>
  </si>
  <si>
    <t>Collector (Supporting) *</t>
  </si>
  <si>
    <t>Collector (Supporting)</t>
  </si>
  <si>
    <t>Local Roads and Others *</t>
  </si>
  <si>
    <t>Local Roads and Others</t>
  </si>
  <si>
    <t xml:space="preserve">* General and Freight traffic routes within activity centres, or where provision for PT and/or active modes demand higher priority, lower LOS for general traffic will apply. </t>
  </si>
  <si>
    <t>^ from ANOP 2024/27. Other LoS tragets have been assigned, interpreted based on the intent of the ANOP.</t>
  </si>
  <si>
    <t>Application of the Auckland Network Operating Plan</t>
  </si>
  <si>
    <t>THE AUCKLAND NETWORK OPERATING PLAN 21-24 (ANOP 21-24)</t>
  </si>
  <si>
    <t>am</t>
  </si>
  <si>
    <t>Interpeak</t>
  </si>
  <si>
    <t>PM</t>
  </si>
  <si>
    <t>Tertiary</t>
  </si>
  <si>
    <t>Private Roads</t>
  </si>
  <si>
    <t>Leisure</t>
  </si>
  <si>
    <t>Local</t>
  </si>
  <si>
    <t>Sports</t>
  </si>
  <si>
    <t>Rapid Transit ^</t>
  </si>
  <si>
    <t>Frequent Transit 1 ^</t>
  </si>
  <si>
    <t>Frequent Transit 2 ^</t>
  </si>
  <si>
    <t>Other Strategic PT Corridor</t>
  </si>
  <si>
    <t>Connector Transit Network</t>
  </si>
  <si>
    <t>Local Transit Network</t>
  </si>
  <si>
    <t>Peak Transit Network</t>
  </si>
  <si>
    <t>NA</t>
  </si>
  <si>
    <t>Level 2 *</t>
  </si>
  <si>
    <t>Level 3 *</t>
  </si>
  <si>
    <t>Overweight &amp; Overdimension only *</t>
  </si>
  <si>
    <t>Overdimension only *</t>
  </si>
  <si>
    <t>Overweight only *</t>
  </si>
  <si>
    <t>Strategic and Primary Arterial * ^</t>
  </si>
  <si>
    <t>Secondary Arterial * ^</t>
  </si>
  <si>
    <t>Collector *</t>
  </si>
  <si>
    <t>How to Use the Auckland Network Operating Plan Assessment Tool</t>
  </si>
  <si>
    <t>Overview</t>
  </si>
  <si>
    <t>The tool requires inputs for the network hierarchy for each mode (from Future Connect) and land use from the Unitary Plan. The existing Levels of Service (LOS) by mode need to be entered and the final inputs required are for the “assessed project impact” LOS, i.e. what changes will occur as a result of the project or change.</t>
  </si>
  <si>
    <t>The tool is designed to provide an indicative evaluation of whether a project or option is well aligned with Auckland’s strategic direction. It is not intended to be used to rank projects or options, nor provide an indication of value for money, but it will indicate whether the project is taking us in the right direction and will highlight what modes the project or development is impacting.</t>
  </si>
  <si>
    <t>It is intended to help identify key issues for the strategic transport network that may require further scrutiny and to ensure that appropriate mitigation options have been considered. For a development, this would effectively be a summary of findings from the Integrated Transport Assessment in ANOP terms.</t>
  </si>
  <si>
    <t>This tool should be used by planners, engineers or operators at any time when trade-offs between modes are required, be that for an operational change or a capital project.</t>
  </si>
  <si>
    <t xml:space="preserve">This tool is available for download from the </t>
  </si>
  <si>
    <t>ANOP web page</t>
  </si>
  <si>
    <t>Figure 1: Screenshot from the ANOP Assessment Tool</t>
  </si>
  <si>
    <t>Step-by-step guide</t>
  </si>
  <si>
    <t>Step 1 – Project Information</t>
  </si>
  <si>
    <t>Enter the project information: project name, location, option, date of assessment and your name.</t>
  </si>
  <si>
    <t>Figure 2: Screenshot showing the Project Information section</t>
  </si>
  <si>
    <t>Step 2 – Network Hierarchy</t>
  </si>
  <si>
    <t>o   Fill out the Strategic Network hierarchies for all five modes.  Refer to Future Connect to find the strategic Network hierarchies for the location being assessed</t>
  </si>
  <si>
    <t>(Link to Future Connect Mapping Portal)</t>
  </si>
  <si>
    <t>(Link to Auckland Unitary Plan map viewer)</t>
  </si>
  <si>
    <t>This information is used to determine the Preferred Levels of Service (see notes under Step 4 below for further details). All cells in this section need to be completed for the formulas to work.</t>
  </si>
  <si>
    <t>Figure 3: Screenshot showing the Network Hierarchy section</t>
  </si>
  <si>
    <t>Step 3 – Baseline Levels of Service</t>
  </si>
  <si>
    <t>Enter the baseline (existing or before) levels of service for each mode (A to F).</t>
  </si>
  <si>
    <t>When assessing levels of service, you should focus on effects to the Strategic and Supporting Networks because the assessment is designed to look at effects on the transport network and does not assess the suitability of individual accesses (e.g. for private developments).  Where the project or development has an impact along multiple points on a corridor, it is recommended that you think about the overall impact rather that assess each intersection separately (e.g. consider average speeds along the corridor before and after, rather than delays at each intersection).</t>
  </si>
  <si>
    <t>Link to ANOP web page</t>
  </si>
  <si>
    <t>Figure 4: Screenshot showing the Baseline LOS section</t>
  </si>
  <si>
    <t>Step 4 – Preferred Levels of Service</t>
  </si>
  <si>
    <t>o   4a. The Preferred LOS are calculated automatically from the ANOP Preferred LOS.</t>
  </si>
  <si>
    <t>o   4b. Optional - The Preferred LOS can be manually overridden in this column.</t>
  </si>
  <si>
    <t>·  Leave the cell blank or select "Use ANOP" to use default ANOP Preferred LOS</t>
  </si>
  <si>
    <t>·  Alternatively if a different Preferred LOS is appropriate due to specific circumstances, enter your desired Preferred LOS. If using Preferred LOS that differ from the default ANOP Preferred LOS, please ensure you provide justification in the Notes section below</t>
  </si>
  <si>
    <t>Figure 5: Screenshot showing the Preferred LOS section</t>
  </si>
  <si>
    <t>Step 5 – Project Impact</t>
  </si>
  <si>
    <t>Enter your assessed Project Impact (Negative, Positive, etc), or the resulting Levels of Service (A to F). This is the impact or LOS on the Future Connect Networks resulting from implementing the project, development or other change.</t>
  </si>
  <si>
    <t>Figure 6: Screenshot showing the Project Impact LOS section</t>
  </si>
  <si>
    <t>Step 6 – Notes</t>
  </si>
  <si>
    <t>Figure 7: Screenshot showing the notes free text fields</t>
  </si>
  <si>
    <t>Step 7 – Fit Assessment Result</t>
  </si>
  <si>
    <t>The Fit Assessment Result will be shown in and below the chart. The fit assessment results fall into one of three categories</t>
  </si>
  <si>
    <t>o   High likelihood of supporting the intent of the Auckland Network Operating Plan (ANOP) and Future Connect</t>
  </si>
  <si>
    <t>o   Moderate likelihood of supporting the Auckland Network Operating Plan (ANOP) and Future Connect, or</t>
  </si>
  <si>
    <t>o   Low likelihood of supporting the Auckland Network Operating Plan (ANOP) and Future Connect</t>
  </si>
  <si>
    <t>The chart shows:</t>
  </si>
  <si>
    <t>o   The Baseline LOS for each mode, indicated by the solid coloured bars</t>
  </si>
  <si>
    <t>o   The Preferred LOS for each mode, indicated by the thick dashed lines</t>
  </si>
  <si>
    <t>o   The Acceptable LOS for each mode, indicated by the double dashed lines</t>
  </si>
  <si>
    <t>o   The resulting LOS for each mode, indicated by the thick grey lines, and</t>
  </si>
  <si>
    <t>o   The change in LOS for each mode, indicated by the grey arrows.</t>
  </si>
  <si>
    <t>Figure 8: Screenshot showing the Fit Assessment Result chart</t>
  </si>
  <si>
    <t>The criteria used to determine whether the change is in alignment with the ANOP into are shown in "6. Fit Assessment Result" table below. This table lists all of the criteria used by the tool to assess whether the impacts from the project or development are in alignment with ANOP and Future Connect. This is intended to provide users with a good understanding of what impacts are resulting in a good or poor alignment, which will help to determine what needs to changes to improve the alignment. There are no user input fields to complete in this table.</t>
  </si>
  <si>
    <t>Where the assessment returns a “Low likelihood” result, this could indicate that some mitigation is required. As a minimum it should trigger a conversation with AT about the impacts to help reach a consensus on whether anything could or should be done to mitigate undesirable outcomes.</t>
  </si>
  <si>
    <t>Figure 9: Screenshot showing the Fit Assessment Result table</t>
  </si>
  <si>
    <t>Modal Factors</t>
  </si>
  <si>
    <t>Heirarchy</t>
  </si>
  <si>
    <t>Typical peak volumes (/h)</t>
  </si>
  <si>
    <t>RPF</t>
  </si>
  <si>
    <t>LoS Target</t>
  </si>
  <si>
    <t>Pass/Fail</t>
  </si>
  <si>
    <t>Walking Volume multiplier</t>
  </si>
  <si>
    <t>Impact on LoS for Freight and GT</t>
  </si>
  <si>
    <t>200-500</t>
  </si>
  <si>
    <t>60-120</t>
  </si>
  <si>
    <t>100-200</t>
  </si>
  <si>
    <t>4000-8000</t>
  </si>
  <si>
    <t>200-400</t>
  </si>
  <si>
    <t>Centre - City Centre &amp; Metropolitan Centre</t>
  </si>
  <si>
    <t>100-300</t>
  </si>
  <si>
    <t>20-60</t>
  </si>
  <si>
    <t>50-100</t>
  </si>
  <si>
    <t>2000-4000</t>
  </si>
  <si>
    <t>10-20</t>
  </si>
  <si>
    <t>30-50</t>
  </si>
  <si>
    <t>1000-2000</t>
  </si>
  <si>
    <t>Centre - Neighbourhood Centre Zone</t>
  </si>
  <si>
    <t>20-50</t>
  </si>
  <si>
    <t>4-10</t>
  </si>
  <si>
    <t>20-30</t>
  </si>
  <si>
    <t>500-1000</t>
  </si>
  <si>
    <t>0-50</t>
  </si>
  <si>
    <t>Healthcare facility, hospital</t>
  </si>
  <si>
    <t>2-6</t>
  </si>
  <si>
    <t>250-500</t>
  </si>
  <si>
    <t xml:space="preserve">Arena / Stadium, Major Recreational Facility, </t>
  </si>
  <si>
    <t>0-250</t>
  </si>
  <si>
    <t>RTN Station, Bus Interchange, Ferry Terminals</t>
  </si>
  <si>
    <t>0-20</t>
  </si>
  <si>
    <t>Education - Tertiary Institures, Primary and Secondary School</t>
  </si>
  <si>
    <t>Residential - Terraced Housing and Apartment Blocks</t>
  </si>
  <si>
    <t>Yellow = values to be reviewed &amp; confirmed</t>
  </si>
  <si>
    <t>0-10</t>
  </si>
  <si>
    <t>Residential - Single House, Mixed Housing Suburban, Mixed Housing Urban</t>
  </si>
  <si>
    <t>Residential - Large Lot, Rural and Coastal Settlement</t>
  </si>
  <si>
    <t>Default Values</t>
  </si>
  <si>
    <t>Occupancy (people or people equivalent for freight)</t>
  </si>
  <si>
    <t>Value of time ($/hr) from MBCM tables 13 &amp; 15</t>
  </si>
  <si>
    <t>Colours</t>
  </si>
  <si>
    <t>Business - Mixed Use Zone, General Business, Business Park, Heavy Industry, Light Industry, Freight Areas</t>
  </si>
  <si>
    <t>#F1544F</t>
  </si>
  <si>
    <t>Others</t>
  </si>
  <si>
    <t>#548235</t>
  </si>
  <si>
    <t>#4472C4</t>
  </si>
  <si>
    <t>#C25614</t>
  </si>
  <si>
    <t>#7030A0</t>
  </si>
  <si>
    <t>Other Lookup Values</t>
  </si>
  <si>
    <t>Project Impact</t>
  </si>
  <si>
    <t>Future Connect Fit Assessment Result</t>
  </si>
  <si>
    <t>Roads and Streets Framework Modal Priorities</t>
  </si>
  <si>
    <t>Roads and Streets Framework Fit Assessment Result</t>
  </si>
  <si>
    <t>Evaluation Type</t>
  </si>
  <si>
    <t>RASF Level of service</t>
  </si>
  <si>
    <t>FC Level of service</t>
  </si>
  <si>
    <t>Project impact</t>
  </si>
  <si>
    <t>Acceptable target LoS</t>
  </si>
  <si>
    <t>Acceptable Target LoS Range</t>
  </si>
  <si>
    <t>Very Positive</t>
  </si>
  <si>
    <t>High likelihood of supporting the intent of the Auckland Network Operating Plan (ANOP) and Future Connect</t>
  </si>
  <si>
    <t>H</t>
  </si>
  <si>
    <t>High likelihood of supporting the intent of the Auckland Network Operating Plan (ANOP) and Roads and Streets Framework Priorities</t>
  </si>
  <si>
    <t>Simple</t>
  </si>
  <si>
    <t>A +</t>
  </si>
  <si>
    <t>Yes</t>
  </si>
  <si>
    <t>A</t>
  </si>
  <si>
    <t>A (C)</t>
  </si>
  <si>
    <t>Moderate likelihood of supporting the Auckland Network Operating Plan (ANOP) and Future Connect</t>
  </si>
  <si>
    <t>M</t>
  </si>
  <si>
    <t>Moderate likelihood of supporting the Auckland Network Operating Plan (ANOP) and Roads and Streets Framework Priorities</t>
  </si>
  <si>
    <t>Simple + Volumes</t>
  </si>
  <si>
    <t>No</t>
  </si>
  <si>
    <t>B (D)</t>
  </si>
  <si>
    <t>Moderately positive</t>
  </si>
  <si>
    <t>L</t>
  </si>
  <si>
    <t>Low likelihood of supporting the Auckland Network Operating Plan (ANOP) and Roads and Streets Framework Priorities</t>
  </si>
  <si>
    <t>LoS Evaluation</t>
  </si>
  <si>
    <t>C (D)</t>
  </si>
  <si>
    <t>LoS Evaluation + Volumes</t>
  </si>
  <si>
    <t>D (E)</t>
  </si>
  <si>
    <t>Moderately negative</t>
  </si>
  <si>
    <t>E (F)</t>
  </si>
  <si>
    <t>F-</t>
  </si>
  <si>
    <t>Moderately +ve</t>
  </si>
  <si>
    <t>Not assessed</t>
  </si>
  <si>
    <t>This assessment tool has been developed to help evaluate whether the impacts from a project, development or land use change align with Auckland Transport's Network Operating Plan.</t>
  </si>
  <si>
    <t>How to use this tool</t>
  </si>
  <si>
    <t>6. You can record notes to explain how you derived the LOS for each mode in the table below. These are free text fields.</t>
  </si>
  <si>
    <t>7. The Fit Assessment Result will be shown in and below the graph, and the criteria used to determine the result are shown in "6. Fit Assessment Result" table below.</t>
  </si>
  <si>
    <t>A hypothetical example project</t>
  </si>
  <si>
    <t>Important Road, from point X to point y.</t>
  </si>
  <si>
    <t>ANOP Acceptable Target LOS (base)</t>
  </si>
  <si>
    <t>ANOP Acceptable Target LOS (adjusted)</t>
  </si>
  <si>
    <t>ANOP Acceptable Target LOS Score (adjusted)</t>
  </si>
  <si>
    <t>Baseline LOS Deficit to Acceptable Target LOS</t>
  </si>
  <si>
    <t>Acceptable Target LOS</t>
  </si>
  <si>
    <t>Acceptable Target LOS Score</t>
  </si>
  <si>
    <t>Acceptable Target lower range score</t>
  </si>
  <si>
    <t>Project LOS Deficit to Acceptable Target LOS</t>
  </si>
  <si>
    <t>Change in deficit to Acceptable target LOS</t>
  </si>
  <si>
    <t>3. Baseline LOS*</t>
  </si>
  <si>
    <t>4b. Manual Preferred LOS*</t>
  </si>
  <si>
    <t>5. Project Impact or LOS*</t>
  </si>
  <si>
    <t>6. Fit Assessment Result</t>
  </si>
  <si>
    <t>* Average walking distance to crossing = 205m
* Average delay a crossing = about 40s
* Wide footpath (2.5m +), no overcrowding or pinchpoints</t>
  </si>
  <si>
    <t>* Additional crossings added to reduce walking distance to crossings to &lt;100m
* Average delays at new crossings less than 30s</t>
  </si>
  <si>
    <t>No facilities and on-street parking. High traffic volumes</t>
  </si>
  <si>
    <t>No Improvements to cycle facilities</t>
  </si>
  <si>
    <t>Average speeds in PM peak along the corridor are 15-20km/h</t>
  </si>
  <si>
    <t>Modelling indicates bus priority measures should improve bus average speeds to 20-25km/h</t>
  </si>
  <si>
    <t>No significant change expected to average speed of freight or general traffic</t>
  </si>
  <si>
    <t>Positive impacts to pedestrians and public transport. 
However, the area will remain deficient for cycling. Recommend that consideration of options for addressing the cycling deficiency.</t>
  </si>
  <si>
    <t>Any other result.</t>
  </si>
  <si>
    <t>Simple Tool</t>
  </si>
  <si>
    <t>Enhanced Tool</t>
  </si>
  <si>
    <t>Questions</t>
  </si>
  <si>
    <t>Responses</t>
  </si>
  <si>
    <t>Status</t>
  </si>
  <si>
    <t>Notes for v0.1</t>
  </si>
  <si>
    <t>LoS Targets</t>
  </si>
  <si>
    <t>Minimum Acceptable LoS for Pass / Fail</t>
  </si>
  <si>
    <t>Are we heading in the right direction?</t>
  </si>
  <si>
    <t>Closed</t>
  </si>
  <si>
    <t xml:space="preserve">Discuss with MM &amp; AL how to address RASF. I'vce added an alternative option / methodology to the tool to use RASF priority ratings instead of FC heirachies. </t>
  </si>
  <si>
    <t>LOS AM peak</t>
  </si>
  <si>
    <t>LOS Off Peak</t>
  </si>
  <si>
    <t>LOS PM Peak</t>
  </si>
  <si>
    <t>Any feedback welcome
More granular assessment for the simple version.
Consider unacceptable scenarios - e.g. peds getting worse in CC or Metro Centre</t>
  </si>
  <si>
    <t>Logic has been improved to address this. Fail criteria have been added.</t>
  </si>
  <si>
    <t>Typical volumes used in 'Data valadation' tab - to be reviewed by MM / AL</t>
  </si>
  <si>
    <t xml:space="preserve">Walking </t>
  </si>
  <si>
    <t>I don't think it needs to have separate inputs for each approach or link like SmartRoads, rather you just input the project wide inputs mode by mode. This simplifies the process to do an NFA (as simplifies development of the tool :-). Are you happy with this?</t>
  </si>
  <si>
    <t>Happy with this</t>
  </si>
  <si>
    <t>Typical occupancies unsed in 'Data valadation' tab to be reviewed by MM &amp; AL.</t>
  </si>
  <si>
    <t>What do we want to do about place. The SmartRoads tool doesn't seem to use place for the Level 1 assessment. 
So far I've only used it to add weighting to the Walking RPF.</t>
  </si>
  <si>
    <t>Look to use this to downplay negative GT outcomes in TC, CC, MC &amp; School locations. 
This is now addressed in the enhanced model</t>
  </si>
  <si>
    <t>Parking - how to address parking to be discussed in joint meeting with Alok.
How would we define LoS or equivalent?
How would we assign an equivalent volume / h?</t>
  </si>
  <si>
    <t>Rob to arrange meeting</t>
  </si>
  <si>
    <t xml:space="preserve">Regional </t>
  </si>
  <si>
    <t>Would you like us to add a separate mode for HOV / Transit Lane traffic?</t>
  </si>
  <si>
    <t>Look to do something simple. Could get a bit too complicated trying to determine the %s.
Option for an asterisk with comment to indicate productivity improvement for example.</t>
  </si>
  <si>
    <t>Incorporate into the enhanced version</t>
  </si>
  <si>
    <t>Target LoS to be reviewed by MM / AL. Note that the targets highlighted in yellow are not covered in the ANOP document.</t>
  </si>
  <si>
    <t>For analysis that takes into account volumes, can we just assume that all people are of equal value?</t>
  </si>
  <si>
    <t>Start with EEM value and see what EEM suggests for person time v value for freight. The Factor can be reviewed in due course. 
Incorporate into the enhanced version</t>
  </si>
  <si>
    <t>I'm unsure about using Target LoS. This does seem to double count the weightings assigned by the tool or RASF priorities. I think it may be more valid to show the operating gap relative to LoS across the board, noting that the gap will be weighted to the priority factors and volumes.
To be discussed with MM &amp; AL.</t>
  </si>
  <si>
    <t xml:space="preserve">Rapid Transit </t>
  </si>
  <si>
    <t>How do you equate value to Freight compared to a person on a bus?</t>
  </si>
  <si>
    <t>Using the RAFS methodology, I've calculated a target LoS simply by subtracting the RASF score from the LoS converted to a number (A=0, B=1, etc.). If we are to use Target LoS, would the method used be appropriate?</t>
  </si>
  <si>
    <t>Frequent Transit 1</t>
  </si>
  <si>
    <t>For analysis that takes into account volumes, do you want the tool to convert # vehicles into #people? We can use some default values for occupancy that can be modified by the user.</t>
  </si>
  <si>
    <t>Input veh/h and have some defaut preset occupancy numbers.</t>
  </si>
  <si>
    <t>Frequent Transit 2</t>
  </si>
  <si>
    <t>Would you like a Mode Shift factor to be applied to the Volumes assessment, similar to SmartRoads?</t>
  </si>
  <si>
    <t>We don't necessarily need to do this, but we assign bus occupancies to consider their potential and not just actual occupancy.</t>
  </si>
  <si>
    <t xml:space="preserve">General Traffic </t>
  </si>
  <si>
    <t>Confirm the thresholds shown in the LoS table right</t>
  </si>
  <si>
    <t>Es and Fs are concern. For cars F in peak if fail, E is borderline. For Bus aim for LOS above GT on FTNs.
For peds in town centres are more important, the threshold maybe bumped up slightly.</t>
  </si>
  <si>
    <t>Strategic and Primary Arterial *</t>
  </si>
  <si>
    <t>Edin to run a few examples to illustrate whether it works and to help with comms- E.G. The Strand</t>
  </si>
  <si>
    <t>Secondary Arterial *</t>
  </si>
  <si>
    <t>Need to define how we think this tool should be used. Add to an intro explanation. This is not intended to be used to rank projects. 
Miguel's intent is to confirm whether the project is taking us in the right direction. It will tell us what part of the project it is addressing.</t>
  </si>
  <si>
    <t>Graphs more helpful than just the number.</t>
  </si>
  <si>
    <t>It's possisble for SmartRoads to show a positive outcome even if making a lower volume mode worse / contrary to strategic intent. This a flaw that we need to address.
This has now been addressed in the logic. All priority modes must be neutral or positive for the tool to return a positive result.</t>
  </si>
  <si>
    <t>Futher testing required</t>
  </si>
  <si>
    <r>
      <t>*</t>
    </r>
    <r>
      <rPr>
        <sz val="8"/>
        <color theme="1"/>
        <rFont val="Gotham Narrow Book"/>
        <family val="3"/>
      </rPr>
      <t xml:space="preserve"> General traffic routes within activity centres, or where provision for PT and/or active modes demand higher priority, lower LOS for general traffic will apply. </t>
    </r>
  </si>
  <si>
    <t>Time periods</t>
  </si>
  <si>
    <t>Show the option performance against the aspirational performance levels.
Graphs showing operational gaps as well as the assessed v target LoS are included in the enhanced model for review.</t>
  </si>
  <si>
    <t>method to be reviewed.</t>
  </si>
  <si>
    <t>Miguel &amp; Anita's comments on version 0.2 - 6/12/2021</t>
  </si>
  <si>
    <t>Responses / change record to v0.2.1</t>
  </si>
  <si>
    <t xml:space="preserve">* Main thing = overall outcome – enlarge </t>
  </si>
  <si>
    <t>Fit Assessment outcome box enlarged.
Added a mention of Future Connect in the outcome result.
Shifted the position of the box and graph so they appear more integrated.</t>
  </si>
  <si>
    <r>
      <t xml:space="preserve">* Test Metro and CC ped improvements doesn’t mean that we can’t improve for pedestrians. </t>
    </r>
    <r>
      <rPr>
        <sz val="12"/>
        <color rgb="FFFF0000"/>
        <rFont val="Gotham Narrow Book"/>
        <family val="3"/>
      </rPr>
      <t>Teed St mid-block test made it red. So need to tweak the logic.</t>
    </r>
    <r>
      <rPr>
        <sz val="12"/>
        <rFont val="Gotham Narrow Book"/>
        <family val="3"/>
      </rPr>
      <t xml:space="preserve"> </t>
    </r>
  </si>
  <si>
    <t>The logic was adjusted to use the outcomes calculated using weightings taking Network Heirarchy into account. It previously looked at unweighted outcomes, which meant that if more modal outcomes were at all negative than positive it would indicate poor alignment, regardless of whether they were on strategic networks. Now Teed returns an orange result and I think this is addressed
Further testing required.</t>
  </si>
  <si>
    <t xml:space="preserve">* Switch Freight to both =&gt; People and Goods story-line </t>
  </si>
  <si>
    <t>Swap the order of Freight &amp; cars? Leave it as is for the time being. But may need to revisit in future.</t>
  </si>
  <si>
    <t xml:space="preserve">* Include a people movement indicator?? </t>
  </si>
  <si>
    <t>Consider how this could be drawn out - maybe in the enhanced version?</t>
  </si>
  <si>
    <t xml:space="preserve">* Emissions??? </t>
  </si>
  <si>
    <t>Maybe look at CATi categories or similar, not the volume of CO2. Will require further information on CATi. Check in with MM to see whether this is to be included now.</t>
  </si>
  <si>
    <t>Discuss with MM / AL</t>
  </si>
  <si>
    <t>* Parking. Many projects impact on parking. In town centre, Metro centres, for e.g. it should show alignment with the parking strategy. E.g. on a strategic arterial the negative impact on parking may not be a significant impact in relation to strategy if the outcomes for priority modes is good. "P" symbol</t>
  </si>
  <si>
    <t>Review parking strategy. Meet with Alok to discuss opportunity to incorporate.</t>
  </si>
  <si>
    <t>Outstanding</t>
  </si>
  <si>
    <t>* Loading, maybe include with parking?</t>
  </si>
  <si>
    <t>Talk through with Alok to get his views</t>
  </si>
  <si>
    <t>Meeting with Andrew McGill, Dirk Osborne, Ronin Verstappen, Claire Covacich, Miguel Menezes 9/12/2021</t>
  </si>
  <si>
    <t>* Andrew suggested using outcome from RASF assessment instead of Land Use from AUP</t>
  </si>
  <si>
    <t>See change 2 in v0.2.2 below</t>
  </si>
  <si>
    <t>* Claire asked whether there are definitions / guidance for how to select the "Project Impacts"</t>
  </si>
  <si>
    <t>It has not been defined as yet. For now, the intro has been updated to recommend that assessmens are carried out in consultation with key SMEs</t>
  </si>
  <si>
    <t>* Robin asked how the tool could consider safety and environment</t>
  </si>
  <si>
    <t>TBC</t>
  </si>
  <si>
    <t>* Dirk mentioned the need to consider future use and avoid investment that would be wasted if it had to be replaced within 10 to 20 years</t>
  </si>
  <si>
    <t>Direct people to use the First Decade FC or RAFS outputs</t>
  </si>
  <si>
    <t>* Andrew suggested that it should show how a project would contribute to, or detract from strategic goals.</t>
  </si>
  <si>
    <t>Note that the intention is to develop a more in depth tool that takes into consideration volumes &amp; standard definitions for Levels of Service. The intention is to show what outcomes are in relation to aspirational Levels of Service.</t>
  </si>
  <si>
    <t>* Add all supporting network hierarchies - cycling and freight</t>
  </si>
  <si>
    <t>Done</t>
  </si>
  <si>
    <t>Change record to v0.2.2</t>
  </si>
  <si>
    <t>Need to define how we think this tool should be used. Add to an intro explanation. This is not intended to be used to rank projects. 
Miguel's intent is to confirm whether the project is taking us in the right direction. It will tell us what part of the project it is addressing.
Seek input from key SMEs.</t>
  </si>
  <si>
    <t>Added an option for review only - to use RAFS scoring as inputs rather than Future Connect heirarchies.</t>
  </si>
  <si>
    <t>Closed in v0.3.0 update</t>
  </si>
  <si>
    <t>Minor tweaks to logic calculations to address issues found through testing</t>
  </si>
  <si>
    <t xml:space="preserve">  Discussion with Anita &amp; Miguel 10/03/2022</t>
  </si>
  <si>
    <t>Change record to v0.3.0</t>
  </si>
  <si>
    <t>Compare previous comments with the new RASF PDF and check whether there are any outstanding issues.</t>
  </si>
  <si>
    <t>Done - send review notes to Anita</t>
  </si>
  <si>
    <t>Follow up required</t>
  </si>
  <si>
    <t>Change the NFA to have vertical bars. Change the appearance to align with RASF graphs ---&gt;</t>
  </si>
  <si>
    <t>Completed. Seek feedback.</t>
  </si>
  <si>
    <t>Show Observed v Future v Project assessed target similar to graphs in RASF Dashboard</t>
  </si>
  <si>
    <t>Completed - seek feedback from Anita and Miguel on how it is presented</t>
  </si>
  <si>
    <t>Note for Observed is still a work in progress</t>
  </si>
  <si>
    <t>Noted</t>
  </si>
  <si>
    <t xml:space="preserve">Use ANOP Definitions for LoS </t>
  </si>
  <si>
    <t>Done, see table below. Note that A = 6. There is no A+ or F- option in the ANOP LoS tables</t>
  </si>
  <si>
    <t>Hold development of detailed for now, until simple is complete and accepted.</t>
  </si>
  <si>
    <t>Not progressed detailed yet</t>
  </si>
  <si>
    <t xml:space="preserve">Write up some assumptions, e.g. how LoS relates to RASF scoring.  </t>
  </si>
  <si>
    <t>NA - Usedtarget LoS from the ANOP rather than trying to convert RASF priorities into LoS</t>
  </si>
  <si>
    <t>Change record to v0.3.1</t>
  </si>
  <si>
    <t>hidden the RASF priorities graph</t>
  </si>
  <si>
    <t>Changed the results graph to refer to LoS instead of Priorities</t>
  </si>
  <si>
    <t>Changed the series with dashed line to represent Ideal LoS. To obtain Idea LoS I used the ANOP target LoS for peak periods with a couple of tweaks to account for the asterisk; </t>
  </si>
  <si>
    <t>For town centre areas I increased the target LoS for active modes by 1 point</t>
  </si>
  <si>
    <t>For town centre areas I reduced the target LoS for freight and general traffic by 1 point</t>
  </si>
  <si>
    <t>Where the Assessed LoS was higher than the Optimal LoS the chart will show the Assessed LoS</t>
  </si>
  <si>
    <t>Version updates</t>
  </si>
  <si>
    <t>Change record to v0.3.2</t>
  </si>
  <si>
    <t>Fixed an issue relating to calculating the "Ideal" LoS</t>
  </si>
  <si>
    <t>Added additional land uses to align with RASF land uses</t>
  </si>
  <si>
    <t>Added to formula, an impact on Target or "Optimial" LoS for GT and Freight as a result of land use. E.g. The target LoS reduces by two points for City Centre or Metro Centre.</t>
  </si>
  <si>
    <t>Can we use the same language, e.g. "Optimal" instead of "Ideal"</t>
  </si>
  <si>
    <t>Make the project improvements more prominent.</t>
  </si>
  <si>
    <t>Increased the size of the arrow</t>
  </si>
  <si>
    <t xml:space="preserve"> - Reduce weighting for the Ideal LoS</t>
  </si>
  <si>
    <t xml:space="preserve"> - Can we have a bar on top of the arrow heads. </t>
  </si>
  <si>
    <t>Remove RASF scoring inputs</t>
  </si>
  <si>
    <t>Added an option to manually enter LoS Targets</t>
  </si>
  <si>
    <t>Change record to v0.3.3</t>
  </si>
  <si>
    <t>Added a Very Positive option that bumps the LoS up by up to 4 notches up to a maximum of LoS A</t>
  </si>
  <si>
    <t>Highlight the Target LoS more prominently on the chart. E.g. a star</t>
  </si>
  <si>
    <t>Having difficulty adding graphics. I've made the line more bold for now.</t>
  </si>
  <si>
    <t>Fix issue with the Manualk Optimal LoS Target</t>
  </si>
  <si>
    <t xml:space="preserve">Closed </t>
  </si>
  <si>
    <t>Save a clean version for distribution</t>
  </si>
  <si>
    <t>Make the chart and the Fit Assessment Result the same width</t>
  </si>
  <si>
    <t>Amended the calc for Optimisal LoS so it is fixed by the ANOP targets only (previously it was adjusted upwards if the project outcomes were better than targets)</t>
  </si>
  <si>
    <t>Change record to v0.3.4</t>
  </si>
  <si>
    <t>Fix bug in formulas relating to land use - lookup formula was not working</t>
  </si>
  <si>
    <t>Change record to v0.3.5</t>
  </si>
  <si>
    <t>Fix bug in formulas where LoS Target for bus is higher than for GT and Freight when not on a bus route.</t>
  </si>
  <si>
    <t>Change record to v0.3.6 &amp; Beta v4</t>
  </si>
  <si>
    <t>Fix bug with Freight strategic network referring to PT strategic network titles</t>
  </si>
  <si>
    <t xml:space="preserve">Change record to v0.3.7 </t>
  </si>
  <si>
    <t>Amended the logic. Inv v0.3.6, any 'priority' modes that had even a moderately negative score, woud result in a "low likelihood" result even if the LoS meets the ANOP LoS target / the optimal LoS
Now amended to return a "Moderate Likelihood" result in this scenario</t>
  </si>
  <si>
    <t>Fixed a bug where manually entered Optimal LoS could be overruled for Freight and General traffic</t>
  </si>
  <si>
    <t xml:space="preserve">Change record to v0.4.0 </t>
  </si>
  <si>
    <t>Add an option for users to enter their own LoS</t>
  </si>
  <si>
    <t>Completed</t>
  </si>
  <si>
    <t>Modified the logic to address examples from Anita (see below and email of 30/9/2022)</t>
  </si>
  <si>
    <t>Updated mode icons</t>
  </si>
  <si>
    <t xml:space="preserve">Change record to v0.5.0 </t>
  </si>
  <si>
    <t>Updated the thresholds / optimal for the networks not defined in ANOP 21/14 - as per tab "LoS Targets"</t>
  </si>
  <si>
    <t>Adjust the logic to focus on the deficit to thresholds</t>
  </si>
  <si>
    <t>Look to remove the "priority mode" and "non-priority mode" logic</t>
  </si>
  <si>
    <t>Change the name of "Optimal" to "Target Acceptable LoS"</t>
  </si>
  <si>
    <t>Conditional formatting in the logic table so you can quickly see which criteria is triggering the H, M, L result</t>
  </si>
  <si>
    <t>Change record to v0.5.1</t>
  </si>
  <si>
    <r>
      <t>Fixed an issue with the lookup for the "</t>
    </r>
    <r>
      <rPr>
        <i/>
        <sz val="11"/>
        <color theme="1"/>
        <rFont val="Gotham Narrow Book"/>
        <family val="3"/>
      </rPr>
      <t>Assessed Project Impact (Impact or LoS)</t>
    </r>
    <r>
      <rPr>
        <sz val="11"/>
        <color theme="1"/>
        <rFont val="Gotham Narrow Book"/>
        <family val="3"/>
      </rPr>
      <t>"</t>
    </r>
  </si>
  <si>
    <t>Change record to v0.5.2</t>
  </si>
  <si>
    <t>Add a link to the new ANOP</t>
  </si>
  <si>
    <t>Change record to v0.5.3</t>
  </si>
  <si>
    <t>Fixed a bug where no target LoS was assigned when selecting "none" on Cycling and PT heirarchy.</t>
  </si>
  <si>
    <t>Change record to v0.5.4 and beta v6.2</t>
  </si>
  <si>
    <t>Fixed a bug where the relative inputs for assessed project impacts were not functioning</t>
  </si>
  <si>
    <t>Change record to v0.5.4 and beta v6.3</t>
  </si>
  <si>
    <t>Added notes to the NOP Tool sheet to show how the Tool assigns LoS targets.</t>
  </si>
  <si>
    <t>Fixed an issue for Geneeral Traffic and Freight where a LoS target of lower than F was assigned in certain situations</t>
  </si>
  <si>
    <t xml:space="preserve">Fixed an issue where the LoS target for General Traffic was lowered when on a Motorway if also in an activity area. </t>
  </si>
  <si>
    <t>Replaced FTN 1 and FTN2 with FTN</t>
  </si>
  <si>
    <t>Added how to use instructions</t>
  </si>
  <si>
    <t>Change record to beta v6.4</t>
  </si>
  <si>
    <t>Guidance on how to use the tool moved above the form to a more prominent position</t>
  </si>
  <si>
    <t>Some additional wording added to guidance, including a high level description of how LOS should be derived and a link to the ANOP webpage for further information.</t>
  </si>
  <si>
    <t>Changed the way the Target LOS can be overridden. This is now included in step 4.</t>
  </si>
  <si>
    <t>Additional links to Future Connect mapping portal and the ANOP webpages now added into the guidance notes.</t>
  </si>
  <si>
    <t>Results shown in tabular format</t>
  </si>
  <si>
    <t>Change record to beta v6.5</t>
  </si>
  <si>
    <t>Neutral - No increase in to LOS deficit to Preferred LOS for any mode should be amber result.</t>
  </si>
  <si>
    <t>Replaced terminology; "LOS Target" with "Preferred LOS"</t>
  </si>
  <si>
    <t>Reformat the strategic networks section to allow easy copy and paste from Future Connect</t>
  </si>
  <si>
    <t>Unfortunately, formatting in FC varies a bit, which causes problems copying and pasting from the FC table, so I'm unable to make this change.</t>
  </si>
  <si>
    <t>Change record to beta v6.6</t>
  </si>
  <si>
    <t>Changed from Gotham Narrow font to Aptos. Gotham Narrow is not a standard Windows font and therefore doesn't display correctly on all computers.</t>
  </si>
  <si>
    <t>Added some text as an introduction to explain what the tool does / what it is for, as per Neil's suggestion</t>
  </si>
  <si>
    <t>Expanded the entry fields under notes to enable users to enter explanations for how they derived before and after LOS</t>
  </si>
  <si>
    <t>Enabled row heights to be adjusted in case the user needs additional space for notes.</t>
  </si>
  <si>
    <t xml:space="preserve">Added a note in the guidance to point to the Preferred LOS in the table at the bottom of the page. </t>
  </si>
  <si>
    <r>
      <t xml:space="preserve">Additional guidance required to help ensure users are thinking about the bigger picture when assessing larger developments or projects. The following text has been added to the user guide 
</t>
    </r>
    <r>
      <rPr>
        <i/>
        <sz val="11"/>
        <color theme="1"/>
        <rFont val="Gotham Narrow Book"/>
        <family val="3"/>
      </rPr>
      <t>“When assessing levels of service, you should focus on effects to the Strategic and Supporting Networks because the assessment is designed to look at effects on the road network and does not assess the suitability of individual accesses (e.g. for private developments).  
Where the project or development has an impact along multiple points on a corridor, it is recommended that you think about the overall impact rather that assess each intersection separately (e.g. consider average speeds along the corridor before and after, rather than delays at each intersection).”</t>
    </r>
  </si>
  <si>
    <t>Added a tab with an example assessment, including all the notes</t>
  </si>
  <si>
    <t>Added a prompt to consider fiing any existing deificiencies that are remaining.</t>
  </si>
  <si>
    <t>Change record to beta v6.7</t>
  </si>
  <si>
    <t>Update preferred LOS for Cycle Connector and Other Strategic PT Corridors, as per ANOP 2024-2027</t>
  </si>
  <si>
    <t>Change record to beta v6.8</t>
  </si>
  <si>
    <t>Highlight which modes are the cause of a 'Low' result.</t>
  </si>
  <si>
    <t>Numerous updates to guidance following user testing</t>
  </si>
  <si>
    <r>
      <t>How to use this tool.</t>
    </r>
    <r>
      <rPr>
        <sz val="12"/>
        <color rgb="FF001930"/>
        <rFont val="Aptos"/>
        <family val="2"/>
      </rPr>
      <t xml:space="preserve"> Refer refer to hidden lines 6 – 14 below, or the to the 'User Guide' and 'example assessment' tabs for further details.</t>
    </r>
  </si>
  <si>
    <t>This assessment tool has been developed to help evaluate whether the impacts from a project, temporary change, development or land use change align with Auckland Transport's Network Operating Plan (ANOP). For a development, this would effectively be a succinct summary of the Integrated Transport Assessment findings in ANOP terms. It is intended to help identify key issues relating to the strategic transport network that may require further scrutiny and to ensure that appropriate mitigation options have been considered.</t>
  </si>
  <si>
    <t xml:space="preserve">To facilitate the application of the ANOP, AT have developed an easy to use tool to enable quick assessments to be made on projects, developments or any other permanent or temporary changes that impact on road users, to determine whether the impacts align with Auckland Transport's Network Operating Plan (ANOP) and therefore Future Connect operational aspirations. </t>
  </si>
  <si>
    <t>Some projects or developments may require an assessment covering a wider area. In these cases some thought should be given to how the project should be broken down and evaluated section by section. In these cases it may be appropriate to look at the impacts on a corridor by corridor bases, focusing on the more critical corridors only (e.g. FTN routes or arterial roads).</t>
  </si>
  <si>
    <t xml:space="preserve">For Level of Service (LOS) definitions for each mode please refer to pages 10 and 11 of 'Application of the Auckland Network Operating Plan', August 2022, which is available on AT's ANOP webpage (link below). Always use the quantitative LOS definitions and measures where possible. The evaluation of Baseline LOS and project impacts is a technical evaluation that should be carried out by a suitably qualified traffic engineer or transport planner and should be confirmed through consultation with relevant subject matter experts. </t>
  </si>
  <si>
    <t>o   For vehicular modes the LOS is derived from average travel speed or intersection delay and travel time reliability</t>
  </si>
  <si>
    <t>o   For active modes the LOS is derived from average crossing delays or the quality facilities provided, determined by alignment with relevant design standards for quality and accessibility, including the AT Transport Design Manual (TDM)</t>
  </si>
  <si>
    <t>This assessment should focus on the impacts to the roading network only (i.e. the Future Connect Networks). E.g. this should not be used to assess the suitability of designs for development accesses, which are not part of the Future Connect Network. Private accesses should be deigned to meet TDM and AUP standards anyway and this assessment is intended to help evaluate impacts to the roading networks and related operational aspirations, rather than the quality or suitability of access arrangements. The exception to this would be where the design of an access results in an impact to LOS for any mode using the Future Connect Networks.</t>
  </si>
  <si>
    <t>In some cases, the specific data required to assess the project impact in terms of LOS may not be available. In this case it may be more appropriate to select the relative change rather than the specific LOS. Ensure the justification for your assessment is documented in the notes section.</t>
  </si>
  <si>
    <t xml:space="preserve">There are free text fields available for you to record any relevant notes, observations, data sources, or assumptions, etc. It is important that key assumptions are recorded to enable reviewers to understand how particular LOS assessments were made, including what data and criteria has been used. For developments, these notes are expected to be similar to conclusions already stated in the relevant sections within the ITA. </t>
  </si>
  <si>
    <t>A "Moderate likelihood" result can be considered acceptable provided there is adequate explanation and acceptance by AT for the underying rationale.</t>
  </si>
  <si>
    <t>Enter your project information into the grey cells, as per the step-by-step instructions below. If you need to undertake more than one evaluation for your project (e.g. to look at multiple options or key time periods) you will need to save a separate copy of the file for each evaluation.</t>
  </si>
  <si>
    <t xml:space="preserve">o   The applicable land use can be found in the Auckland Unitary Plan Map, available as a layer in Future Connect, or in Auckland Council’s map viewer </t>
  </si>
  <si>
    <t>The data needed to evaluate the baseline LOS may not always be readily available, particularly for consultants working for developers rather than for AT. If this is the case, please check whether AT or ATOC has internal tools that could provide this information (e.g. general traffic speed data, bus travel time data, or signal cycle times for pedestrian delays). It will be beneficial to confirm that these correlate well with AT data. If there are still gaps in the baseline data then engineering judgement may be required. If so, please ensure you document your reasoning and justify the LOS used.</t>
  </si>
  <si>
    <t>Version updates 6/8/2025</t>
  </si>
  <si>
    <t>Change record to v1.0</t>
  </si>
  <si>
    <t>Interim Rapid Transit Network</t>
  </si>
  <si>
    <t>40-100</t>
  </si>
  <si>
    <t>2. Network Hierarchy
(Future Connect)</t>
  </si>
  <si>
    <t>2. Network Hierarchy (Future Connect)</t>
  </si>
  <si>
    <t>Time period assessed</t>
  </si>
  <si>
    <t>1. Enter the project information: project name, location, option, time period assessed, date of assessment and your name.</t>
  </si>
  <si>
    <t>Option 1</t>
  </si>
  <si>
    <t>Added PT category Interim Rapid Transit Network</t>
  </si>
  <si>
    <t>Added a field for user to enter "Time Period Assessed"</t>
  </si>
  <si>
    <t>Removed reference to 1st decade FC network</t>
  </si>
  <si>
    <t>Updates to User Guide</t>
  </si>
  <si>
    <t>Version updates X/X/XX</t>
  </si>
  <si>
    <t>Change record to v</t>
  </si>
  <si>
    <t>Time Period Assessed</t>
  </si>
  <si>
    <t>PM Peak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</si>
</sst>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9]d\ mmmm\ yyyy;@"/>
    <numFmt numFmtId="165" formatCode="0.0"/>
  </numFmts>
  <fonts count="71" x14ac:knownFonts="1">
    <font>
      <sz val="11"/>
      <color theme="1"/>
      <name val="Calibri"/>
      <family val="2"/>
      <scheme val="minor"/>
    </font>
    <font>
      <sz val="9"/>
      <name val="Arial"/>
      <family val="2"/>
    </font>
    <font>
      <sz val="11"/>
      <name val="Calibri"/>
      <family val="2"/>
      <scheme val="minor"/>
    </font>
    <font>
      <sz val="11"/>
      <color rgb="FFC8C8C8"/>
      <name val="Calibri"/>
      <family val="2"/>
    </font>
    <font>
      <sz val="16"/>
      <color rgb="FFC8C8C8"/>
      <name val="Calibri"/>
      <family val="2"/>
    </font>
    <font>
      <sz val="11"/>
      <name val="Calibri"/>
      <family val="2"/>
    </font>
    <font>
      <u/>
      <sz val="11"/>
      <color theme="10"/>
      <name val="Calibri"/>
      <family val="2"/>
      <scheme val="minor"/>
    </font>
    <font>
      <sz val="11"/>
      <color rgb="FF001930"/>
      <name val="Wingdings"/>
      <charset val="2"/>
    </font>
    <font>
      <sz val="11"/>
      <color theme="1"/>
      <name val="Gotham Narrow Light"/>
      <family val="3"/>
    </font>
    <font>
      <b/>
      <sz val="11"/>
      <color theme="0"/>
      <name val="Gotham Narrow Light"/>
      <family val="3"/>
    </font>
    <font>
      <sz val="9"/>
      <name val="Gotham Narrow Light"/>
      <family val="3"/>
    </font>
    <font>
      <sz val="9"/>
      <color rgb="FF000000"/>
      <name val="Gotham Narrow Light"/>
      <family val="3"/>
    </font>
    <font>
      <sz val="9"/>
      <color theme="0"/>
      <name val="Gotham Narrow Light"/>
      <family val="3"/>
    </font>
    <font>
      <b/>
      <sz val="11"/>
      <color rgb="FFFFFFFF"/>
      <name val="Gotham Narrow Light"/>
      <family val="3"/>
    </font>
    <font>
      <sz val="8"/>
      <color theme="1"/>
      <name val="Gotham Narrow Light"/>
      <family val="3"/>
    </font>
    <font>
      <sz val="11"/>
      <color theme="1"/>
      <name val="Gotham Narrow Book"/>
      <family val="3"/>
    </font>
    <font>
      <b/>
      <sz val="11"/>
      <color theme="0"/>
      <name val="Gotham Narrow Book"/>
      <family val="3"/>
    </font>
    <font>
      <b/>
      <sz val="12"/>
      <color theme="1"/>
      <name val="Gotham Narrow Book"/>
      <family val="3"/>
    </font>
    <font>
      <b/>
      <sz val="11"/>
      <color theme="1"/>
      <name val="Gotham Narrow Book"/>
      <family val="3"/>
    </font>
    <font>
      <b/>
      <sz val="11"/>
      <color rgb="FFFFFFFF"/>
      <name val="Gotham Narrow Book"/>
      <family val="3"/>
    </font>
    <font>
      <sz val="16"/>
      <color theme="1"/>
      <name val="Gotham Narrow Book"/>
      <family val="3"/>
    </font>
    <font>
      <b/>
      <sz val="12"/>
      <color rgb="FFFFFFFF"/>
      <name val="Gotham Narrow Book"/>
      <family val="3"/>
    </font>
    <font>
      <sz val="10"/>
      <color theme="1"/>
      <name val="Gotham Narrow Book"/>
      <family val="3"/>
    </font>
    <font>
      <sz val="9"/>
      <color theme="0"/>
      <name val="Gotham Narrow Book"/>
      <family val="3"/>
    </font>
    <font>
      <sz val="9"/>
      <color rgb="FFFFFFFF"/>
      <name val="Gotham Narrow Book"/>
      <family val="3"/>
    </font>
    <font>
      <sz val="9"/>
      <name val="Gotham Narrow Book"/>
      <family val="3"/>
    </font>
    <font>
      <sz val="9"/>
      <color rgb="FF000000"/>
      <name val="Gotham Narrow Book"/>
      <family val="3"/>
    </font>
    <font>
      <sz val="11"/>
      <name val="Gotham Narrow Book"/>
      <family val="3"/>
    </font>
    <font>
      <sz val="10"/>
      <color rgb="FFFF0000"/>
      <name val="Gotham Narrow Book"/>
      <family val="3"/>
    </font>
    <font>
      <i/>
      <sz val="8"/>
      <color theme="1"/>
      <name val="Gotham Narrow Book"/>
      <family val="3"/>
    </font>
    <font>
      <sz val="8"/>
      <color theme="1"/>
      <name val="Gotham Narrow Book"/>
      <family val="3"/>
    </font>
    <font>
      <b/>
      <i/>
      <sz val="11"/>
      <color theme="1"/>
      <name val="Gotham Narrow Book"/>
      <family val="3"/>
    </font>
    <font>
      <b/>
      <i/>
      <sz val="11"/>
      <color theme="0"/>
      <name val="Gotham Narrow Book"/>
      <family val="3"/>
    </font>
    <font>
      <sz val="12"/>
      <name val="Gotham Narrow Book"/>
      <family val="3"/>
    </font>
    <font>
      <sz val="12"/>
      <color rgb="FFFF0000"/>
      <name val="Gotham Narrow Book"/>
      <family val="3"/>
    </font>
    <font>
      <sz val="11"/>
      <color rgb="FFFF0000"/>
      <name val="Gotham Narrow Book"/>
      <family val="3"/>
    </font>
    <font>
      <i/>
      <sz val="11"/>
      <color theme="1"/>
      <name val="Gotham Narrow Book"/>
      <family val="3"/>
    </font>
    <font>
      <sz val="12"/>
      <name val="Gotham Narrow Light"/>
      <family val="3"/>
    </font>
    <font>
      <sz val="14"/>
      <name val="Gotham Narrow Light"/>
      <family val="3"/>
    </font>
    <font>
      <sz val="16"/>
      <color theme="1"/>
      <name val="Gotham Narrow Light"/>
      <family val="3"/>
    </font>
    <font>
      <b/>
      <sz val="12"/>
      <name val="Gotham Narrow Book"/>
      <family val="3"/>
    </font>
    <font>
      <b/>
      <sz val="9"/>
      <name val="Gotham Narrow Book"/>
      <family val="3"/>
    </font>
    <font>
      <sz val="14"/>
      <color rgb="FF595959"/>
      <name val="Arial"/>
      <family val="2"/>
    </font>
    <font>
      <sz val="10"/>
      <color theme="1"/>
      <name val="Arial"/>
      <family val="2"/>
    </font>
    <font>
      <sz val="20"/>
      <color rgb="FF0F4761"/>
      <name val="Aptos Display"/>
      <family val="2"/>
    </font>
    <font>
      <b/>
      <sz val="10"/>
      <color theme="1"/>
      <name val="Arial"/>
      <family val="2"/>
    </font>
    <font>
      <i/>
      <sz val="10"/>
      <color theme="1" tint="0.34998626667073579"/>
      <name val="Arial"/>
      <family val="2"/>
    </font>
    <font>
      <u/>
      <sz val="10"/>
      <color theme="10"/>
      <name val="Arial"/>
      <family val="2"/>
    </font>
    <font>
      <sz val="11"/>
      <color rgb="FF196B24"/>
      <name val="Arial"/>
      <family val="2"/>
    </font>
    <font>
      <sz val="11"/>
      <color rgb="FFBF4E14"/>
      <name val="Arial"/>
      <family val="2"/>
    </font>
    <font>
      <sz val="11"/>
      <color rgb="FFFF0000"/>
      <name val="Arial"/>
      <family val="2"/>
    </font>
    <font>
      <b/>
      <sz val="20"/>
      <color rgb="FF001930"/>
      <name val="Aptos"/>
      <family val="2"/>
    </font>
    <font>
      <sz val="11"/>
      <color rgb="FF001930"/>
      <name val="Aptos"/>
      <family val="2"/>
    </font>
    <font>
      <b/>
      <sz val="11"/>
      <color rgb="FF001930"/>
      <name val="Aptos"/>
      <family val="2"/>
    </font>
    <font>
      <b/>
      <sz val="8"/>
      <color rgb="FF001930"/>
      <name val="Aptos"/>
      <family val="2"/>
    </font>
    <font>
      <sz val="8"/>
      <color rgb="FF001930"/>
      <name val="Aptos"/>
      <family val="2"/>
    </font>
    <font>
      <b/>
      <sz val="14"/>
      <color rgb="FF001930"/>
      <name val="Aptos"/>
      <family val="2"/>
    </font>
    <font>
      <sz val="12"/>
      <color rgb="FF001930"/>
      <name val="Aptos"/>
      <family val="2"/>
    </font>
    <font>
      <b/>
      <sz val="12"/>
      <color rgb="FF001930"/>
      <name val="Aptos"/>
      <family val="2"/>
    </font>
    <font>
      <u/>
      <sz val="12"/>
      <color rgb="FF0073BD"/>
      <name val="Aptos"/>
      <family val="2"/>
    </font>
    <font>
      <u/>
      <sz val="11"/>
      <color theme="10"/>
      <name val="Aptos"/>
      <family val="2"/>
    </font>
    <font>
      <sz val="11.5"/>
      <color rgb="FF001930"/>
      <name val="Aptos"/>
      <family val="2"/>
    </font>
    <font>
      <b/>
      <u/>
      <sz val="12"/>
      <color rgb="FF0073BD"/>
      <name val="Aptos"/>
      <family val="2"/>
    </font>
    <font>
      <sz val="11"/>
      <color theme="1"/>
      <name val="Aptos"/>
      <family val="2"/>
    </font>
    <font>
      <b/>
      <sz val="10"/>
      <color rgb="FF001930"/>
      <name val="Aptos"/>
      <family val="2"/>
    </font>
    <font>
      <sz val="13"/>
      <color rgb="FF001930"/>
      <name val="Aptos"/>
      <family val="2"/>
    </font>
    <font>
      <sz val="15"/>
      <color rgb="FF001930"/>
      <name val="Aptos"/>
      <family val="2"/>
    </font>
    <font>
      <sz val="14"/>
      <color rgb="FF001930"/>
      <name val="Aptos"/>
      <family val="2"/>
    </font>
    <font>
      <sz val="10"/>
      <color rgb="FF001930"/>
      <name val="Aptos"/>
      <family val="2"/>
    </font>
    <font>
      <b/>
      <sz val="11"/>
      <color rgb="FFFF0000"/>
      <name val="Aptos"/>
      <family val="2"/>
    </font>
    <font>
      <sz val="11"/>
      <color rgb="FFFF0000"/>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AFBD22"/>
        <bgColor indexed="64"/>
      </patternFill>
    </fill>
    <fill>
      <patternFill patternType="solid">
        <fgColor rgb="FF6FF3FF"/>
        <bgColor indexed="64"/>
      </patternFill>
    </fill>
    <fill>
      <patternFill patternType="solid">
        <fgColor rgb="FF112A2F"/>
        <bgColor indexed="64"/>
      </patternFill>
    </fill>
    <fill>
      <patternFill patternType="solid">
        <fgColor theme="9" tint="0.39997558519241921"/>
        <bgColor indexed="64"/>
      </patternFill>
    </fill>
    <fill>
      <patternFill patternType="solid">
        <fgColor rgb="FFFF330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C8C8C8"/>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1544F"/>
        <bgColor indexed="64"/>
      </patternFill>
    </fill>
    <fill>
      <patternFill patternType="solid">
        <fgColor rgb="FF789D40"/>
        <bgColor indexed="64"/>
      </patternFill>
    </fill>
    <fill>
      <patternFill patternType="solid">
        <fgColor rgb="FF0089BC"/>
        <bgColor indexed="64"/>
      </patternFill>
    </fill>
    <fill>
      <patternFill patternType="solid">
        <fgColor rgb="FFC16E53"/>
        <bgColor indexed="64"/>
      </patternFill>
    </fill>
    <fill>
      <patternFill patternType="solid">
        <fgColor rgb="FFA352A0"/>
        <bgColor indexed="64"/>
      </patternFill>
    </fill>
    <fill>
      <patternFill patternType="solid">
        <fgColor theme="1"/>
        <bgColor indexed="64"/>
      </patternFill>
    </fill>
    <fill>
      <patternFill patternType="solid">
        <fgColor rgb="FF002060"/>
        <bgColor indexed="64"/>
      </patternFill>
    </fill>
    <fill>
      <patternFill patternType="solid">
        <fgColor theme="8"/>
        <bgColor indexed="64"/>
      </patternFill>
    </fill>
    <fill>
      <patternFill patternType="solid">
        <fgColor theme="2" tint="-9.9978637043366805E-2"/>
        <bgColor indexed="64"/>
      </patternFill>
    </fill>
    <fill>
      <patternFill patternType="solid">
        <fgColor rgb="FFBCDC48"/>
        <bgColor indexed="64"/>
      </patternFill>
    </fill>
    <fill>
      <patternFill patternType="solid">
        <fgColor rgb="FFFF6743"/>
        <bgColor indexed="64"/>
      </patternFill>
    </fill>
    <fill>
      <patternFill patternType="solid">
        <fgColor rgb="FFFEBC5C"/>
        <bgColor indexed="64"/>
      </patternFill>
    </fill>
    <fill>
      <patternFill patternType="solid">
        <fgColor theme="6" tint="0.79998168889431442"/>
        <bgColor indexed="64"/>
      </patternFill>
    </fill>
    <fill>
      <patternFill patternType="solid">
        <fgColor rgb="FF001930"/>
        <bgColor indexed="64"/>
      </patternFill>
    </fill>
  </fills>
  <borders count="106">
    <border>
      <left/>
      <right/>
      <top/>
      <bottom/>
      <diagonal/>
    </border>
    <border>
      <left style="thin">
        <color rgb="FFC8C8C8"/>
      </left>
      <right style="thin">
        <color rgb="FFC8C8C8"/>
      </right>
      <top style="thin">
        <color rgb="FFC8C8C8"/>
      </top>
      <bottom style="thin">
        <color rgb="FFC8C8C8"/>
      </bottom>
      <diagonal/>
    </border>
    <border>
      <left/>
      <right style="thin">
        <color rgb="FFC8C8C8"/>
      </right>
      <top/>
      <bottom/>
      <diagonal/>
    </border>
    <border>
      <left style="thin">
        <color rgb="FFC8C8C8"/>
      </left>
      <right/>
      <top style="thin">
        <color rgb="FFC8C8C8"/>
      </top>
      <bottom style="thin">
        <color rgb="FFC8C8C8"/>
      </bottom>
      <diagonal/>
    </border>
    <border>
      <left/>
      <right style="thin">
        <color rgb="FFC8C8C8"/>
      </right>
      <top style="thin">
        <color rgb="FFC8C8C8"/>
      </top>
      <bottom style="thin">
        <color rgb="FFC8C8C8"/>
      </bottom>
      <diagonal/>
    </border>
    <border>
      <left/>
      <right/>
      <top style="thin">
        <color rgb="FFC8C8C8"/>
      </top>
      <bottom style="thin">
        <color rgb="FFC8C8C8"/>
      </bottom>
      <diagonal/>
    </border>
    <border>
      <left style="thin">
        <color rgb="FFC8C8C8"/>
      </left>
      <right/>
      <top/>
      <bottom/>
      <diagonal/>
    </border>
    <border>
      <left style="thin">
        <color rgb="FFC8C8C8"/>
      </left>
      <right/>
      <top/>
      <bottom style="thin">
        <color rgb="FFC8C8C8"/>
      </bottom>
      <diagonal/>
    </border>
    <border>
      <left/>
      <right style="thin">
        <color rgb="FFC8C8C8"/>
      </right>
      <top/>
      <bottom style="thin">
        <color rgb="FFC8C8C8"/>
      </bottom>
      <diagonal/>
    </border>
    <border>
      <left/>
      <right/>
      <top/>
      <bottom style="thin">
        <color rgb="FFC8C8C8"/>
      </bottom>
      <diagonal/>
    </border>
    <border>
      <left/>
      <right/>
      <top style="thin">
        <color rgb="FFC8C8C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thin">
        <color indexed="64"/>
      </top>
      <bottom style="thin">
        <color rgb="FFC8C8C8"/>
      </bottom>
      <diagonal/>
    </border>
    <border>
      <left/>
      <right style="thin">
        <color indexed="64"/>
      </right>
      <top style="thin">
        <color indexed="64"/>
      </top>
      <bottom style="thin">
        <color rgb="FFC8C8C8"/>
      </bottom>
      <diagonal/>
    </border>
    <border>
      <left style="thin">
        <color indexed="64"/>
      </left>
      <right/>
      <top style="thin">
        <color rgb="FFC8C8C8"/>
      </top>
      <bottom style="thin">
        <color rgb="FFC8C8C8"/>
      </bottom>
      <diagonal/>
    </border>
    <border>
      <left/>
      <right style="thin">
        <color indexed="64"/>
      </right>
      <top style="thin">
        <color rgb="FFC8C8C8"/>
      </top>
      <bottom style="thin">
        <color rgb="FFC8C8C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C8C8C8"/>
      </right>
      <top/>
      <bottom style="thin">
        <color indexed="64"/>
      </bottom>
      <diagonal/>
    </border>
    <border>
      <left/>
      <right/>
      <top style="thin">
        <color theme="0" tint="-0.24994659260841701"/>
      </top>
      <bottom/>
      <diagonal/>
    </border>
    <border>
      <left/>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style="thin">
        <color rgb="FFC8C8C8"/>
      </left>
      <right style="thin">
        <color rgb="FFC8C8C8"/>
      </right>
      <top style="thin">
        <color rgb="FFC8C8C8"/>
      </top>
      <bottom/>
      <diagonal/>
    </border>
    <border>
      <left style="thin">
        <color rgb="FFC8C8C8"/>
      </left>
      <right style="thin">
        <color rgb="FFC8C8C8"/>
      </right>
      <top/>
      <bottom style="thin">
        <color rgb="FFC8C8C8"/>
      </bottom>
      <diagonal/>
    </border>
    <border>
      <left style="thin">
        <color rgb="FFC8C8C8"/>
      </left>
      <right style="thin">
        <color rgb="FFC8C8C8"/>
      </right>
      <top/>
      <bottom/>
      <diagonal/>
    </border>
    <border>
      <left style="thin">
        <color rgb="FFC8C8C8"/>
      </left>
      <right/>
      <top style="thin">
        <color rgb="FFC8C8C8"/>
      </top>
      <bottom/>
      <diagonal/>
    </border>
    <border>
      <left/>
      <right style="thin">
        <color rgb="FFC8C8C8"/>
      </right>
      <top style="thin">
        <color rgb="FFC8C8C8"/>
      </top>
      <bottom/>
      <diagonal/>
    </border>
    <border>
      <left style="thin">
        <color indexed="64"/>
      </left>
      <right/>
      <top/>
      <bottom style="thin">
        <color rgb="FFC8C8C8"/>
      </bottom>
      <diagonal/>
    </border>
    <border>
      <left/>
      <right style="thin">
        <color indexed="64"/>
      </right>
      <top/>
      <bottom style="thin">
        <color rgb="FFC8C8C8"/>
      </bottom>
      <diagonal/>
    </border>
    <border>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right style="thin">
        <color indexed="64"/>
      </right>
      <top style="thin">
        <color theme="0" tint="-0.24994659260841701"/>
      </top>
      <bottom/>
      <diagonal/>
    </border>
    <border>
      <left style="thin">
        <color indexed="64"/>
      </left>
      <right/>
      <top style="thin">
        <color indexed="64"/>
      </top>
      <bottom style="thin">
        <color rgb="FFC8C8C8"/>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rgb="FFC8C8C8"/>
      </right>
      <top style="thin">
        <color rgb="FFC8C8C8"/>
      </top>
      <bottom/>
      <diagonal/>
    </border>
    <border>
      <left style="thin">
        <color rgb="FFC8C8C8"/>
      </left>
      <right style="medium">
        <color indexed="64"/>
      </right>
      <top style="thin">
        <color rgb="FFC8C8C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C8C8C8"/>
      </left>
      <right style="thin">
        <color rgb="FFC8C8C8"/>
      </right>
      <top style="medium">
        <color rgb="FFC8C8C8"/>
      </top>
      <bottom style="thin">
        <color rgb="FFC8C8C8"/>
      </bottom>
      <diagonal/>
    </border>
    <border>
      <left style="thin">
        <color rgb="FFC8C8C8"/>
      </left>
      <right style="medium">
        <color rgb="FFC8C8C8"/>
      </right>
      <top style="medium">
        <color rgb="FFC8C8C8"/>
      </top>
      <bottom style="thin">
        <color rgb="FFC8C8C8"/>
      </bottom>
      <diagonal/>
    </border>
    <border>
      <left style="thin">
        <color rgb="FFC8C8C8"/>
      </left>
      <right style="medium">
        <color rgb="FFC8C8C8"/>
      </right>
      <top style="thin">
        <color rgb="FFC8C8C8"/>
      </top>
      <bottom style="thin">
        <color rgb="FFC8C8C8"/>
      </bottom>
      <diagonal/>
    </border>
    <border>
      <left style="thin">
        <color rgb="FFC8C8C8"/>
      </left>
      <right style="thin">
        <color rgb="FFC8C8C8"/>
      </right>
      <top style="thin">
        <color rgb="FFC8C8C8"/>
      </top>
      <bottom style="medium">
        <color rgb="FFC8C8C8"/>
      </bottom>
      <diagonal/>
    </border>
    <border>
      <left style="thin">
        <color rgb="FFC8C8C8"/>
      </left>
      <right style="medium">
        <color rgb="FFC8C8C8"/>
      </right>
      <top style="thin">
        <color rgb="FFC8C8C8"/>
      </top>
      <bottom style="medium">
        <color rgb="FFC8C8C8"/>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rgb="FFC8C8C8"/>
      </left>
      <right style="thin">
        <color rgb="FFC8C8C8"/>
      </right>
      <top style="medium">
        <color rgb="FFC8C8C8"/>
      </top>
      <bottom style="thin">
        <color rgb="FFC8C8C8"/>
      </bottom>
      <diagonal/>
    </border>
    <border>
      <left style="medium">
        <color rgb="FFC8C8C8"/>
      </left>
      <right style="thin">
        <color rgb="FFC8C8C8"/>
      </right>
      <top style="thin">
        <color rgb="FFC8C8C8"/>
      </top>
      <bottom style="thin">
        <color rgb="FFC8C8C8"/>
      </bottom>
      <diagonal/>
    </border>
    <border>
      <left style="medium">
        <color rgb="FFC8C8C8"/>
      </left>
      <right style="thin">
        <color rgb="FFC8C8C8"/>
      </right>
      <top style="thin">
        <color rgb="FFC8C8C8"/>
      </top>
      <bottom style="medium">
        <color rgb="FFC8C8C8"/>
      </bottom>
      <diagonal/>
    </border>
    <border>
      <left/>
      <right/>
      <top style="thin">
        <color indexed="64"/>
      </top>
      <bottom style="thin">
        <color indexed="64"/>
      </bottom>
      <diagonal/>
    </border>
    <border>
      <left style="medium">
        <color rgb="FFC8C8C8"/>
      </left>
      <right style="thin">
        <color rgb="FFC8C8C8"/>
      </right>
      <top/>
      <bottom/>
      <diagonal/>
    </border>
    <border>
      <left style="medium">
        <color rgb="FFC8C8C8"/>
      </left>
      <right style="thin">
        <color rgb="FFC8C8C8"/>
      </right>
      <top style="medium">
        <color rgb="FFC8C8C8"/>
      </top>
      <bottom/>
      <diagonal/>
    </border>
    <border>
      <left style="medium">
        <color rgb="FFC8C8C8"/>
      </left>
      <right style="thin">
        <color rgb="FFC8C8C8"/>
      </right>
      <top/>
      <bottom style="medium">
        <color rgb="FFC8C8C8"/>
      </bottom>
      <diagonal/>
    </border>
    <border>
      <left style="thin">
        <color rgb="FFC8C8C8"/>
      </left>
      <right style="thin">
        <color rgb="FFC8C8C8"/>
      </right>
      <top/>
      <bottom style="medium">
        <color rgb="FFC8C8C8"/>
      </bottom>
      <diagonal/>
    </border>
    <border>
      <left style="thin">
        <color rgb="FFC8C8C8"/>
      </left>
      <right style="thin">
        <color rgb="FFC8C8C8"/>
      </right>
      <top style="thin">
        <color rgb="FFC8C8C8"/>
      </top>
      <bottom style="dotted">
        <color rgb="FFC8C8C8"/>
      </bottom>
      <diagonal/>
    </border>
    <border>
      <left style="thin">
        <color rgb="FFC8C8C8"/>
      </left>
      <right/>
      <top style="thin">
        <color rgb="FFC8C8C8"/>
      </top>
      <bottom style="dotted">
        <color rgb="FFC8C8C8"/>
      </bottom>
      <diagonal/>
    </border>
    <border>
      <left/>
      <right/>
      <top style="thin">
        <color rgb="FFC8C8C8"/>
      </top>
      <bottom style="dotted">
        <color rgb="FFC8C8C8"/>
      </bottom>
      <diagonal/>
    </border>
    <border>
      <left/>
      <right style="thin">
        <color rgb="FFC8C8C8"/>
      </right>
      <top style="dotted">
        <color rgb="FFC8C8C8"/>
      </top>
      <bottom style="dotted">
        <color rgb="FFC8C8C8"/>
      </bottom>
      <diagonal/>
    </border>
    <border>
      <left style="thin">
        <color rgb="FFC8C8C8"/>
      </left>
      <right style="thin">
        <color rgb="FFC8C8C8"/>
      </right>
      <top style="dotted">
        <color rgb="FFC8C8C8"/>
      </top>
      <bottom/>
      <diagonal/>
    </border>
    <border>
      <left style="thin">
        <color rgb="FFC8C8C8"/>
      </left>
      <right/>
      <top style="dotted">
        <color rgb="FFC8C8C8"/>
      </top>
      <bottom/>
      <diagonal/>
    </border>
    <border>
      <left/>
      <right/>
      <top style="dotted">
        <color rgb="FFC8C8C8"/>
      </top>
      <bottom/>
      <diagonal/>
    </border>
    <border>
      <left/>
      <right style="thin">
        <color rgb="FFC8C8C8"/>
      </right>
      <top style="dotted">
        <color rgb="FFC8C8C8"/>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rgb="FFC8C8C8"/>
      </left>
      <right style="thin">
        <color rgb="FFC8C8C8"/>
      </right>
      <top/>
      <bottom style="thin">
        <color rgb="FFC8C8C8"/>
      </bottom>
      <diagonal/>
    </border>
    <border>
      <left/>
      <right style="thin">
        <color rgb="FFC8C8C8"/>
      </right>
      <top style="thin">
        <color rgb="FFC8C8C8"/>
      </top>
      <bottom style="dotted">
        <color rgb="FFC8C8C8"/>
      </bottom>
      <diagonal/>
    </border>
    <border>
      <left/>
      <right/>
      <top style="dotted">
        <color rgb="FFC8C8C8"/>
      </top>
      <bottom style="thin">
        <color rgb="FFC8C8C8"/>
      </bottom>
      <diagonal/>
    </border>
    <border>
      <left/>
      <right style="thin">
        <color rgb="FFC8C8C8"/>
      </right>
      <top style="dotted">
        <color rgb="FFC8C8C8"/>
      </top>
      <bottom style="thin">
        <color rgb="FFC8C8C8"/>
      </bottom>
      <diagonal/>
    </border>
    <border>
      <left/>
      <right/>
      <top style="dotted">
        <color rgb="FFC8C8C8"/>
      </top>
      <bottom style="dotted">
        <color rgb="FFC8C8C8"/>
      </bottom>
      <diagonal/>
    </border>
    <border>
      <left/>
      <right style="dotted">
        <color rgb="FFC8C8C8"/>
      </right>
      <top style="thin">
        <color rgb="FFC8C8C8"/>
      </top>
      <bottom/>
      <diagonal/>
    </border>
    <border>
      <left/>
      <right style="dotted">
        <color rgb="FFC8C8C8"/>
      </right>
      <top style="dotted">
        <color rgb="FFC8C8C8"/>
      </top>
      <bottom/>
      <diagonal/>
    </border>
    <border>
      <left style="thin">
        <color rgb="FFC8C8C8"/>
      </left>
      <right style="dotted">
        <color rgb="FFC8C8C8"/>
      </right>
      <top/>
      <bottom style="thin">
        <color rgb="FFC8C8C8"/>
      </bottom>
      <diagonal/>
    </border>
    <border>
      <left/>
      <right style="dotted">
        <color rgb="FFC8C8C8"/>
      </right>
      <top style="dotted">
        <color rgb="FFC8C8C8"/>
      </top>
      <bottom style="dotted">
        <color rgb="FFC8C8C8"/>
      </bottom>
      <diagonal/>
    </border>
    <border>
      <left style="thin">
        <color rgb="FFC8C8C8"/>
      </left>
      <right/>
      <top style="dotted">
        <color rgb="FFC8C8C8"/>
      </top>
      <bottom style="thin">
        <color rgb="FFC8C8C8"/>
      </bottom>
      <diagonal/>
    </border>
    <border>
      <left/>
      <right style="dotted">
        <color rgb="FFC8C8C8"/>
      </right>
      <top style="dotted">
        <color rgb="FFC8C8C8"/>
      </top>
      <bottom style="thin">
        <color rgb="FFC8C8C8"/>
      </bottom>
      <diagonal/>
    </border>
    <border>
      <left/>
      <right style="dotted">
        <color rgb="FFC8C8C8"/>
      </right>
      <top style="thin">
        <color rgb="FFC8C8C8"/>
      </top>
      <bottom style="dotted">
        <color rgb="FFC8C8C8"/>
      </bottom>
      <diagonal/>
    </border>
  </borders>
  <cellStyleXfs count="2">
    <xf numFmtId="0" fontId="0" fillId="0" borderId="0"/>
    <xf numFmtId="0" fontId="6" fillId="0" borderId="0" applyNumberFormat="0" applyFill="0" applyBorder="0" applyAlignment="0" applyProtection="0"/>
  </cellStyleXfs>
  <cellXfs count="538">
    <xf numFmtId="0" fontId="0" fillId="0" borderId="0" xfId="0"/>
    <xf numFmtId="0" fontId="4" fillId="5" borderId="18" xfId="0" applyFont="1" applyFill="1" applyBorder="1" applyAlignment="1" applyProtection="1">
      <alignment horizontal="left" vertical="center" wrapText="1"/>
      <protection hidden="1"/>
    </xf>
    <xf numFmtId="0" fontId="0" fillId="0" borderId="9" xfId="0" applyBorder="1" applyAlignment="1" applyProtection="1">
      <alignment vertical="center"/>
      <protection hidden="1"/>
    </xf>
    <xf numFmtId="0" fontId="0" fillId="0" borderId="9" xfId="0" applyBorder="1" applyAlignment="1" applyProtection="1">
      <alignment horizontal="center" vertical="center"/>
      <protection hidden="1"/>
    </xf>
    <xf numFmtId="0" fontId="0" fillId="0" borderId="0" xfId="0" applyAlignment="1" applyProtection="1">
      <alignment vertical="center"/>
      <protection hidden="1"/>
    </xf>
    <xf numFmtId="0" fontId="3" fillId="5" borderId="18"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3" fillId="5" borderId="19"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20" xfId="0" applyBorder="1" applyAlignment="1" applyProtection="1">
      <alignment vertical="center"/>
      <protection hidden="1"/>
    </xf>
    <xf numFmtId="0" fontId="0" fillId="11"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49" fontId="0" fillId="11" borderId="0" xfId="0" applyNumberFormat="1" applyFill="1" applyAlignment="1" applyProtection="1">
      <alignment horizontal="center" vertical="center"/>
      <protection hidden="1"/>
    </xf>
    <xf numFmtId="0" fontId="0" fillId="11" borderId="9" xfId="0" applyFill="1" applyBorder="1" applyAlignment="1" applyProtection="1">
      <alignment horizontal="center" vertical="center"/>
      <protection hidden="1"/>
    </xf>
    <xf numFmtId="0" fontId="0" fillId="0" borderId="23" xfId="0" applyBorder="1" applyAlignment="1" applyProtection="1">
      <alignment vertical="center"/>
      <protection hidden="1"/>
    </xf>
    <xf numFmtId="0" fontId="0" fillId="11" borderId="23" xfId="0" applyFill="1"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11" borderId="0" xfId="0" applyFill="1" applyAlignment="1" applyProtection="1">
      <alignment horizontal="center"/>
      <protection hidden="1"/>
    </xf>
    <xf numFmtId="0" fontId="0" fillId="0" borderId="0" xfId="0" applyAlignment="1" applyProtection="1">
      <alignment horizontal="center"/>
      <protection hidden="1"/>
    </xf>
    <xf numFmtId="0" fontId="0" fillId="0" borderId="22" xfId="0" applyBorder="1" applyAlignment="1" applyProtection="1">
      <alignment vertical="center"/>
      <protection hidden="1"/>
    </xf>
    <xf numFmtId="0" fontId="0" fillId="0" borderId="23" xfId="0" applyBorder="1" applyAlignment="1" applyProtection="1">
      <alignment horizontal="center" vertical="center"/>
      <protection hidden="1"/>
    </xf>
    <xf numFmtId="0" fontId="4" fillId="5" borderId="3" xfId="0" applyFont="1" applyFill="1" applyBorder="1" applyAlignment="1" applyProtection="1">
      <alignment horizontal="left" vertical="center" wrapText="1"/>
      <protection hidden="1"/>
    </xf>
    <xf numFmtId="0" fontId="0" fillId="0" borderId="0" xfId="0" applyProtection="1">
      <protection hidden="1"/>
    </xf>
    <xf numFmtId="0" fontId="0" fillId="0" borderId="6" xfId="0" applyBorder="1" applyAlignment="1" applyProtection="1">
      <alignment vertical="center"/>
      <protection hidden="1"/>
    </xf>
    <xf numFmtId="165" fontId="0" fillId="11" borderId="0" xfId="0" applyNumberFormat="1" applyFill="1" applyAlignment="1" applyProtection="1">
      <alignment horizontal="center" vertical="center"/>
      <protection hidden="1"/>
    </xf>
    <xf numFmtId="0" fontId="0" fillId="0" borderId="7" xfId="0" applyBorder="1" applyAlignment="1" applyProtection="1">
      <alignment vertical="center"/>
      <protection hidden="1"/>
    </xf>
    <xf numFmtId="0" fontId="0" fillId="0" borderId="5" xfId="0" applyBorder="1" applyAlignment="1" applyProtection="1">
      <alignment vertical="center"/>
      <protection hidden="1"/>
    </xf>
    <xf numFmtId="0" fontId="4" fillId="5" borderId="5" xfId="0" applyFont="1" applyFill="1" applyBorder="1" applyAlignment="1" applyProtection="1">
      <alignment horizontal="center" vertical="center" wrapText="1"/>
      <protection hidden="1"/>
    </xf>
    <xf numFmtId="0" fontId="3" fillId="5" borderId="26" xfId="0" applyFont="1" applyFill="1" applyBorder="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5" fillId="9" borderId="1" xfId="0" applyFont="1" applyFill="1" applyBorder="1" applyAlignment="1" applyProtection="1">
      <alignment vertical="center" wrapText="1"/>
      <protection hidden="1"/>
    </xf>
    <xf numFmtId="0" fontId="3" fillId="5" borderId="0" xfId="0" applyFont="1" applyFill="1" applyAlignment="1" applyProtection="1">
      <alignment horizontal="center" vertical="center" wrapText="1"/>
      <protection hidden="1"/>
    </xf>
    <xf numFmtId="0" fontId="0" fillId="0" borderId="14" xfId="0" applyBorder="1" applyAlignment="1" applyProtection="1">
      <alignment vertical="center"/>
      <protection hidden="1"/>
    </xf>
    <xf numFmtId="0" fontId="0" fillId="6" borderId="2" xfId="0" applyFill="1" applyBorder="1" applyAlignment="1" applyProtection="1">
      <alignment vertical="center"/>
      <protection hidden="1"/>
    </xf>
    <xf numFmtId="0" fontId="0" fillId="0" borderId="30" xfId="0" applyBorder="1" applyAlignment="1" applyProtection="1">
      <alignment horizontal="center" vertical="center"/>
      <protection hidden="1"/>
    </xf>
    <xf numFmtId="0" fontId="2" fillId="9" borderId="6" xfId="0" applyFont="1" applyFill="1" applyBorder="1" applyAlignment="1" applyProtection="1">
      <alignment vertical="center"/>
      <protection hidden="1"/>
    </xf>
    <xf numFmtId="0" fontId="0" fillId="0" borderId="6" xfId="0"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0" fillId="0" borderId="34" xfId="0" applyBorder="1" applyProtection="1">
      <protection hidden="1"/>
    </xf>
    <xf numFmtId="0" fontId="0" fillId="2" borderId="2" xfId="0" applyFill="1" applyBorder="1" applyAlignment="1" applyProtection="1">
      <alignment vertical="center"/>
      <protection hidden="1"/>
    </xf>
    <xf numFmtId="0" fontId="0" fillId="0" borderId="32" xfId="0" applyBorder="1" applyAlignment="1" applyProtection="1">
      <alignment horizontal="center" vertical="center"/>
      <protection hidden="1"/>
    </xf>
    <xf numFmtId="0" fontId="0" fillId="0" borderId="2" xfId="0" applyBorder="1" applyProtection="1">
      <protection hidden="1"/>
    </xf>
    <xf numFmtId="0" fontId="0" fillId="7" borderId="8" xfId="0" applyFill="1" applyBorder="1" applyAlignment="1" applyProtection="1">
      <alignment vertical="center"/>
      <protection hidden="1"/>
    </xf>
    <xf numFmtId="0" fontId="2" fillId="9" borderId="7" xfId="0" applyFont="1" applyFill="1" applyBorder="1" applyAlignment="1" applyProtection="1">
      <alignment vertical="center"/>
      <protection hidden="1"/>
    </xf>
    <xf numFmtId="0" fontId="0" fillId="0" borderId="27" xfId="0" applyBorder="1" applyAlignment="1" applyProtection="1">
      <alignment vertical="center"/>
      <protection hidden="1"/>
    </xf>
    <xf numFmtId="0" fontId="0" fillId="0" borderId="15" xfId="0" applyBorder="1" applyAlignment="1" applyProtection="1">
      <alignment vertical="center"/>
      <protection hidden="1"/>
    </xf>
    <xf numFmtId="0" fontId="0" fillId="0" borderId="2" xfId="0" applyBorder="1" applyAlignment="1" applyProtection="1">
      <alignment vertical="center"/>
      <protection hidden="1"/>
    </xf>
    <xf numFmtId="0" fontId="0" fillId="0" borderId="7"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0" fillId="0" borderId="8" xfId="0" applyBorder="1" applyAlignment="1" applyProtection="1">
      <alignment vertical="center"/>
      <protection hidden="1"/>
    </xf>
    <xf numFmtId="0" fontId="0" fillId="0" borderId="0" xfId="0" applyAlignment="1" applyProtection="1">
      <alignment vertical="center"/>
      <protection locked="0"/>
    </xf>
    <xf numFmtId="0" fontId="0" fillId="0" borderId="0" xfId="0" applyAlignment="1" applyProtection="1">
      <alignment horizontal="left" vertical="center"/>
      <protection hidden="1"/>
    </xf>
    <xf numFmtId="0" fontId="0" fillId="0" borderId="20" xfId="0" applyBorder="1" applyAlignment="1" applyProtection="1">
      <alignment horizontal="left" vertical="center"/>
      <protection hidden="1"/>
    </xf>
    <xf numFmtId="0" fontId="0" fillId="11" borderId="0" xfId="0" applyFill="1" applyAlignment="1" applyProtection="1">
      <alignment vertical="center"/>
      <protection hidden="1"/>
    </xf>
    <xf numFmtId="0" fontId="1" fillId="0" borderId="1" xfId="0" applyFont="1" applyBorder="1" applyAlignment="1">
      <alignment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84" xfId="0" applyFont="1" applyBorder="1" applyAlignment="1">
      <alignment horizontal="center" vertical="center"/>
    </xf>
    <xf numFmtId="0" fontId="7" fillId="0" borderId="1" xfId="0" applyFont="1" applyBorder="1" applyAlignment="1">
      <alignment horizontal="center" vertical="center"/>
    </xf>
    <xf numFmtId="0" fontId="8" fillId="0" borderId="0" xfId="0" applyFont="1" applyAlignment="1">
      <alignment vertical="center"/>
    </xf>
    <xf numFmtId="0" fontId="8" fillId="0" borderId="0" xfId="0" applyFont="1"/>
    <xf numFmtId="0" fontId="10" fillId="0" borderId="63" xfId="0" applyFont="1" applyBorder="1" applyAlignment="1">
      <alignment vertical="center" wrapText="1"/>
    </xf>
    <xf numFmtId="0" fontId="10" fillId="22" borderId="63" xfId="0" applyFont="1" applyFill="1" applyBorder="1" applyAlignment="1">
      <alignment horizontal="center" vertical="center" wrapText="1"/>
    </xf>
    <xf numFmtId="0" fontId="10" fillId="22" borderId="64" xfId="0" applyFont="1" applyFill="1" applyBorder="1" applyAlignment="1">
      <alignment horizontal="center" vertical="center" wrapText="1"/>
    </xf>
    <xf numFmtId="0" fontId="10" fillId="0" borderId="1" xfId="0" applyFont="1" applyBorder="1" applyAlignment="1">
      <alignment vertical="center" wrapText="1"/>
    </xf>
    <xf numFmtId="0" fontId="10" fillId="4" borderId="1"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10" fillId="24" borderId="65" xfId="0" applyFont="1" applyFill="1" applyBorder="1" applyAlignment="1">
      <alignment horizontal="center" vertical="center" wrapText="1"/>
    </xf>
    <xf numFmtId="0" fontId="10" fillId="0" borderId="66" xfId="0" applyFont="1" applyBorder="1" applyAlignment="1">
      <alignment vertical="center" wrapText="1"/>
    </xf>
    <xf numFmtId="0" fontId="10" fillId="24" borderId="66" xfId="0" applyFont="1" applyFill="1" applyBorder="1" applyAlignment="1">
      <alignment horizontal="center" vertical="center" wrapText="1"/>
    </xf>
    <xf numFmtId="0" fontId="10" fillId="24" borderId="67"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3" borderId="67" xfId="0" applyFont="1" applyFill="1" applyBorder="1" applyAlignment="1">
      <alignment horizontal="center" vertical="center" wrapText="1"/>
    </xf>
    <xf numFmtId="0" fontId="8" fillId="0" borderId="0" xfId="0" applyFont="1" applyAlignment="1" applyProtection="1">
      <alignment vertical="center"/>
      <protection hidden="1"/>
    </xf>
    <xf numFmtId="0" fontId="10" fillId="23" borderId="1" xfId="0" applyFont="1" applyFill="1" applyBorder="1" applyAlignment="1">
      <alignment horizontal="center" vertical="center" wrapText="1"/>
    </xf>
    <xf numFmtId="0" fontId="10" fillId="23" borderId="65" xfId="0" applyFont="1" applyFill="1" applyBorder="1" applyAlignment="1">
      <alignment horizontal="center" vertical="center" wrapText="1"/>
    </xf>
    <xf numFmtId="0" fontId="10" fillId="0" borderId="83" xfId="0" applyFont="1" applyBorder="1" applyAlignment="1">
      <alignment vertical="center" wrapText="1"/>
    </xf>
    <xf numFmtId="0" fontId="11" fillId="4" borderId="64"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66" xfId="0" applyFont="1" applyFill="1" applyBorder="1" applyAlignment="1">
      <alignment horizontal="center" vertical="center" wrapText="1"/>
    </xf>
    <xf numFmtId="0" fontId="10" fillId="4" borderId="63"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59" xfId="0" applyFont="1" applyFill="1" applyBorder="1" applyAlignment="1">
      <alignment horizontal="center" vertical="center" wrapText="1"/>
    </xf>
    <xf numFmtId="0" fontId="9" fillId="8" borderId="60" xfId="0" applyFont="1" applyFill="1" applyBorder="1" applyAlignment="1">
      <alignment horizontal="center" vertical="center" wrapText="1"/>
    </xf>
    <xf numFmtId="0" fontId="10" fillId="0" borderId="22" xfId="0" applyFont="1" applyBorder="1" applyAlignment="1">
      <alignment vertical="center" wrapText="1"/>
    </xf>
    <xf numFmtId="0" fontId="10" fillId="0" borderId="23" xfId="0" applyFont="1" applyBorder="1" applyAlignment="1">
      <alignment vertical="center" wrapText="1"/>
    </xf>
    <xf numFmtId="0" fontId="11" fillId="3" borderId="5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0" fillId="0" borderId="58" xfId="0" applyFont="1" applyBorder="1" applyAlignment="1">
      <alignment vertical="center" wrapText="1"/>
    </xf>
    <xf numFmtId="0" fontId="10" fillId="0" borderId="79" xfId="0" applyFont="1" applyBorder="1" applyAlignment="1">
      <alignment vertical="center" wrapText="1"/>
    </xf>
    <xf numFmtId="0" fontId="11" fillId="4" borderId="56"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6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11" fillId="0" borderId="12" xfId="0" applyFont="1" applyBorder="1" applyAlignment="1">
      <alignment horizontal="center" vertical="center" wrapText="1"/>
    </xf>
    <xf numFmtId="0" fontId="10" fillId="0" borderId="29" xfId="0" applyFont="1" applyBorder="1" applyAlignment="1">
      <alignment vertical="center" wrapText="1"/>
    </xf>
    <xf numFmtId="0" fontId="10" fillId="7" borderId="47" xfId="0" applyFont="1" applyFill="1" applyBorder="1" applyAlignment="1">
      <alignment horizontal="center" vertical="center" wrapText="1"/>
    </xf>
    <xf numFmtId="0" fontId="10" fillId="7" borderId="48" xfId="0" applyFont="1" applyFill="1" applyBorder="1" applyAlignment="1">
      <alignment horizontal="center" vertical="center" wrapText="1"/>
    </xf>
    <xf numFmtId="0" fontId="10" fillId="7" borderId="62" xfId="0" applyFont="1" applyFill="1" applyBorder="1" applyAlignment="1">
      <alignment horizontal="center" vertical="center" wrapText="1"/>
    </xf>
    <xf numFmtId="0" fontId="15" fillId="0" borderId="0" xfId="0" applyFont="1" applyAlignment="1">
      <alignment vertical="center"/>
    </xf>
    <xf numFmtId="0" fontId="16" fillId="26" borderId="30" xfId="0" applyFont="1" applyFill="1" applyBorder="1" applyAlignment="1">
      <alignment horizontal="center" vertical="center" wrapText="1"/>
    </xf>
    <xf numFmtId="0" fontId="16" fillId="26" borderId="33" xfId="0" applyFont="1" applyFill="1" applyBorder="1" applyAlignment="1">
      <alignment horizontal="center" vertical="center" wrapText="1"/>
    </xf>
    <xf numFmtId="0" fontId="17" fillId="0" borderId="0" xfId="0" applyFont="1"/>
    <xf numFmtId="0" fontId="18" fillId="0" borderId="0" xfId="0" applyFont="1"/>
    <xf numFmtId="0" fontId="15" fillId="0" borderId="0" xfId="0" applyFont="1" applyAlignment="1">
      <alignment vertical="top"/>
    </xf>
    <xf numFmtId="0" fontId="20" fillId="0" borderId="0" xfId="0" applyFont="1" applyAlignment="1">
      <alignment vertical="top"/>
    </xf>
    <xf numFmtId="0" fontId="15" fillId="0" borderId="0" xfId="0" applyFont="1" applyAlignment="1">
      <alignment vertical="top" wrapText="1"/>
    </xf>
    <xf numFmtId="0" fontId="15" fillId="0" borderId="0" xfId="0" applyFont="1" applyAlignment="1">
      <alignment horizontal="center" vertical="top"/>
    </xf>
    <xf numFmtId="0" fontId="21" fillId="19" borderId="68" xfId="0" applyFont="1" applyFill="1" applyBorder="1" applyAlignment="1">
      <alignment horizontal="center" vertical="top" wrapText="1"/>
    </xf>
    <xf numFmtId="0" fontId="21" fillId="19" borderId="57" xfId="0" applyFont="1" applyFill="1" applyBorder="1" applyAlignment="1">
      <alignment horizontal="center" vertical="top" wrapText="1"/>
    </xf>
    <xf numFmtId="0" fontId="21" fillId="19" borderId="69" xfId="0" applyFont="1" applyFill="1" applyBorder="1" applyAlignment="1">
      <alignment horizontal="center" vertical="top" wrapText="1"/>
    </xf>
    <xf numFmtId="0" fontId="15" fillId="0" borderId="12" xfId="0" applyFont="1" applyBorder="1" applyAlignment="1">
      <alignment vertical="top" wrapText="1"/>
    </xf>
    <xf numFmtId="0" fontId="22" fillId="0" borderId="12" xfId="0" applyFont="1" applyBorder="1" applyAlignment="1">
      <alignment vertical="top" wrapText="1"/>
    </xf>
    <xf numFmtId="0" fontId="15" fillId="9" borderId="58" xfId="0" applyFont="1" applyFill="1" applyBorder="1" applyAlignment="1">
      <alignment vertical="top" wrapText="1"/>
    </xf>
    <xf numFmtId="0" fontId="15" fillId="9" borderId="11"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12" xfId="0" applyFont="1" applyBorder="1" applyAlignment="1">
      <alignment horizontal="center" vertical="top" wrapText="1"/>
    </xf>
    <xf numFmtId="0" fontId="23" fillId="19" borderId="57" xfId="0" applyFont="1" applyFill="1" applyBorder="1" applyAlignment="1">
      <alignment vertical="top" wrapText="1"/>
    </xf>
    <xf numFmtId="0" fontId="24" fillId="19" borderId="68" xfId="0" applyFont="1" applyFill="1" applyBorder="1" applyAlignment="1">
      <alignment vertical="top" wrapText="1"/>
    </xf>
    <xf numFmtId="0" fontId="24" fillId="19" borderId="70" xfId="0" applyFont="1" applyFill="1" applyBorder="1" applyAlignment="1">
      <alignment horizontal="center" vertical="top" wrapText="1"/>
    </xf>
    <xf numFmtId="0" fontId="15" fillId="9" borderId="12" xfId="0" applyFont="1" applyFill="1" applyBorder="1" applyAlignment="1">
      <alignment horizontal="center" vertical="center" wrapText="1"/>
    </xf>
    <xf numFmtId="0" fontId="22" fillId="11" borderId="12" xfId="0" applyFont="1" applyFill="1" applyBorder="1" applyAlignment="1">
      <alignment vertical="top" wrapText="1"/>
    </xf>
    <xf numFmtId="0" fontId="25" fillId="0" borderId="70" xfId="0" applyFont="1" applyBorder="1" applyAlignment="1">
      <alignment vertical="top" wrapText="1"/>
    </xf>
    <xf numFmtId="0" fontId="26" fillId="3" borderId="70" xfId="0" applyFont="1" applyFill="1" applyBorder="1" applyAlignment="1">
      <alignment horizontal="center" vertical="top" wrapText="1"/>
    </xf>
    <xf numFmtId="0" fontId="26" fillId="4" borderId="70" xfId="0" applyFont="1" applyFill="1" applyBorder="1" applyAlignment="1">
      <alignment horizontal="center" vertical="top" wrapText="1"/>
    </xf>
    <xf numFmtId="0" fontId="26" fillId="2" borderId="70" xfId="0" applyFont="1" applyFill="1" applyBorder="1" applyAlignment="1">
      <alignment horizontal="center" vertical="top" wrapText="1"/>
    </xf>
    <xf numFmtId="0" fontId="27" fillId="9" borderId="58" xfId="0" applyFont="1" applyFill="1" applyBorder="1" applyAlignment="1">
      <alignment vertical="top" wrapText="1"/>
    </xf>
    <xf numFmtId="0" fontId="28" fillId="0" borderId="12" xfId="0" applyFont="1" applyBorder="1" applyAlignment="1">
      <alignment vertical="top" wrapText="1"/>
    </xf>
    <xf numFmtId="0" fontId="15" fillId="0" borderId="58" xfId="0" applyFont="1" applyBorder="1" applyAlignment="1">
      <alignment vertical="top" wrapText="1"/>
    </xf>
    <xf numFmtId="0" fontId="27" fillId="0" borderId="12" xfId="0" applyFont="1" applyBorder="1" applyAlignment="1">
      <alignment horizontal="center" vertical="center" wrapText="1"/>
    </xf>
    <xf numFmtId="0" fontId="15" fillId="9" borderId="73" xfId="0" applyFont="1" applyFill="1" applyBorder="1" applyAlignment="1">
      <alignment horizontal="center" vertical="center" wrapText="1"/>
    </xf>
    <xf numFmtId="0" fontId="26" fillId="7" borderId="70" xfId="0" applyFont="1" applyFill="1" applyBorder="1" applyAlignment="1">
      <alignment horizontal="center" vertical="top" wrapText="1"/>
    </xf>
    <xf numFmtId="0" fontId="15" fillId="0" borderId="12" xfId="0" applyFont="1" applyBorder="1" applyAlignment="1">
      <alignment horizontal="center" vertical="center" wrapText="1"/>
    </xf>
    <xf numFmtId="0" fontId="29" fillId="0" borderId="0" xfId="0" applyFont="1" applyAlignment="1">
      <alignment vertical="top"/>
    </xf>
    <xf numFmtId="0" fontId="31" fillId="0" borderId="0" xfId="0" applyFont="1" applyAlignment="1">
      <alignment vertical="top" wrapText="1"/>
    </xf>
    <xf numFmtId="0" fontId="32" fillId="20" borderId="12" xfId="0" applyFont="1" applyFill="1" applyBorder="1" applyAlignment="1">
      <alignment vertical="top" wrapText="1"/>
    </xf>
    <xf numFmtId="0" fontId="32" fillId="20" borderId="58" xfId="0" applyFont="1" applyFill="1" applyBorder="1" applyAlignment="1">
      <alignment vertical="top" wrapText="1"/>
    </xf>
    <xf numFmtId="0" fontId="32" fillId="20" borderId="12" xfId="0" applyFont="1" applyFill="1" applyBorder="1" applyAlignment="1">
      <alignment horizontal="center" vertical="center" wrapText="1"/>
    </xf>
    <xf numFmtId="0" fontId="31" fillId="0" borderId="0" xfId="0" applyFont="1" applyAlignment="1">
      <alignment vertical="top"/>
    </xf>
    <xf numFmtId="0" fontId="31" fillId="0" borderId="0" xfId="0" applyFont="1" applyAlignment="1">
      <alignment horizontal="center" vertical="top"/>
    </xf>
    <xf numFmtId="0" fontId="33" fillId="9" borderId="12" xfId="0" applyFont="1" applyFill="1" applyBorder="1" applyAlignment="1">
      <alignment vertical="top"/>
    </xf>
    <xf numFmtId="0" fontId="27" fillId="9" borderId="12" xfId="0" applyFont="1" applyFill="1" applyBorder="1" applyAlignment="1">
      <alignment horizontal="center" vertical="center" wrapText="1"/>
    </xf>
    <xf numFmtId="0" fontId="33" fillId="9" borderId="12" xfId="0" applyFont="1" applyFill="1" applyBorder="1" applyAlignment="1">
      <alignment vertical="top" wrapText="1"/>
    </xf>
    <xf numFmtId="0" fontId="33" fillId="0" borderId="12" xfId="0" applyFont="1" applyBorder="1" applyAlignment="1">
      <alignment vertical="top" wrapText="1"/>
    </xf>
    <xf numFmtId="0" fontId="27" fillId="0" borderId="58" xfId="0" applyFont="1" applyBorder="1" applyAlignment="1">
      <alignment vertical="top" wrapText="1"/>
    </xf>
    <xf numFmtId="0" fontId="35" fillId="0" borderId="58" xfId="0" applyFont="1" applyBorder="1" applyAlignment="1">
      <alignment vertical="top" wrapText="1"/>
    </xf>
    <xf numFmtId="0" fontId="35" fillId="0" borderId="12" xfId="0" applyFont="1" applyBorder="1" applyAlignment="1">
      <alignment horizontal="center" vertical="center" wrapText="1"/>
    </xf>
    <xf numFmtId="0" fontId="15" fillId="10" borderId="58" xfId="0" applyFont="1" applyFill="1" applyBorder="1" applyAlignment="1">
      <alignment vertical="top" wrapText="1"/>
    </xf>
    <xf numFmtId="0" fontId="15" fillId="10" borderId="12" xfId="0" applyFont="1" applyFill="1" applyBorder="1" applyAlignment="1">
      <alignment horizontal="center" vertical="center" wrapText="1"/>
    </xf>
    <xf numFmtId="0" fontId="27" fillId="10" borderId="58" xfId="0" applyFont="1" applyFill="1" applyBorder="1" applyAlignment="1">
      <alignment vertical="top" wrapText="1"/>
    </xf>
    <xf numFmtId="0" fontId="32" fillId="20" borderId="28" xfId="0" applyFont="1" applyFill="1" applyBorder="1" applyAlignment="1">
      <alignment vertical="top" wrapText="1"/>
    </xf>
    <xf numFmtId="0" fontId="15" fillId="0" borderId="12" xfId="0" applyFont="1" applyBorder="1" applyAlignment="1">
      <alignment vertical="top"/>
    </xf>
    <xf numFmtId="0" fontId="27" fillId="10" borderId="12" xfId="0" applyFont="1" applyFill="1" applyBorder="1" applyAlignment="1">
      <alignment vertical="top" wrapText="1"/>
    </xf>
    <xf numFmtId="0" fontId="27" fillId="10" borderId="12" xfId="0" applyFont="1" applyFill="1" applyBorder="1" applyAlignment="1">
      <alignment horizontal="center" vertical="top" wrapText="1"/>
    </xf>
    <xf numFmtId="0" fontId="15" fillId="0" borderId="73" xfId="0" applyFont="1" applyBorder="1" applyAlignment="1">
      <alignment vertical="top" wrapText="1"/>
    </xf>
    <xf numFmtId="0" fontId="27" fillId="10" borderId="73" xfId="0" applyFont="1" applyFill="1" applyBorder="1" applyAlignment="1">
      <alignment vertical="top" wrapText="1"/>
    </xf>
    <xf numFmtId="0" fontId="15" fillId="10" borderId="73" xfId="0" applyFont="1" applyFill="1" applyBorder="1" applyAlignment="1">
      <alignment horizontal="center" vertical="center" wrapText="1"/>
    </xf>
    <xf numFmtId="0" fontId="15" fillId="9" borderId="12" xfId="0" applyFont="1" applyFill="1" applyBorder="1" applyAlignment="1">
      <alignment vertical="top" wrapText="1"/>
    </xf>
    <xf numFmtId="0" fontId="15" fillId="9" borderId="12" xfId="0" applyFont="1" applyFill="1" applyBorder="1" applyAlignment="1">
      <alignment horizontal="center" vertical="top" wrapText="1"/>
    </xf>
    <xf numFmtId="0" fontId="15" fillId="9" borderId="73" xfId="0" applyFont="1" applyFill="1" applyBorder="1" applyAlignment="1">
      <alignment vertical="top" wrapText="1"/>
    </xf>
    <xf numFmtId="0" fontId="15" fillId="9" borderId="43" xfId="0" applyFont="1" applyFill="1" applyBorder="1" applyAlignment="1">
      <alignment vertical="top" wrapText="1"/>
    </xf>
    <xf numFmtId="0" fontId="15" fillId="9" borderId="75" xfId="0" applyFont="1" applyFill="1" applyBorder="1" applyAlignment="1">
      <alignment vertical="top" wrapText="1"/>
    </xf>
    <xf numFmtId="0" fontId="15" fillId="9" borderId="21" xfId="0" applyFont="1" applyFill="1" applyBorder="1" applyAlignment="1">
      <alignment horizontal="center" vertical="center" wrapText="1"/>
    </xf>
    <xf numFmtId="0" fontId="15" fillId="9" borderId="11" xfId="0" applyFont="1" applyFill="1" applyBorder="1" applyAlignment="1">
      <alignment vertical="top" wrapText="1"/>
    </xf>
    <xf numFmtId="0" fontId="15" fillId="9" borderId="24" xfId="0" applyFont="1" applyFill="1" applyBorder="1" applyAlignment="1">
      <alignment horizontal="center" vertical="center" wrapText="1"/>
    </xf>
    <xf numFmtId="0" fontId="15" fillId="11" borderId="12" xfId="0" applyFont="1" applyFill="1" applyBorder="1" applyAlignment="1">
      <alignment vertical="top" wrapText="1"/>
    </xf>
    <xf numFmtId="0" fontId="15" fillId="10" borderId="12" xfId="0" applyFont="1" applyFill="1" applyBorder="1" applyAlignment="1">
      <alignment vertical="top" wrapText="1"/>
    </xf>
    <xf numFmtId="0" fontId="15" fillId="21" borderId="12" xfId="0" applyFont="1" applyFill="1" applyBorder="1" applyAlignment="1">
      <alignment vertical="top" wrapText="1"/>
    </xf>
    <xf numFmtId="0" fontId="15" fillId="21" borderId="12" xfId="0" applyFont="1" applyFill="1" applyBorder="1" applyAlignment="1">
      <alignment horizontal="center" vertical="top" wrapText="1"/>
    </xf>
    <xf numFmtId="0" fontId="18" fillId="0" borderId="0" xfId="0" applyFont="1" applyAlignment="1">
      <alignment vertical="top" wrapText="1"/>
    </xf>
    <xf numFmtId="0" fontId="8" fillId="0" borderId="0" xfId="0" applyFont="1" applyAlignment="1">
      <alignment horizontal="center"/>
    </xf>
    <xf numFmtId="0" fontId="37" fillId="0" borderId="0" xfId="0" applyFont="1" applyAlignment="1">
      <alignment vertical="center"/>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7" fillId="0" borderId="3" xfId="0" applyFont="1" applyBorder="1" applyAlignment="1">
      <alignment vertical="center"/>
    </xf>
    <xf numFmtId="0" fontId="8" fillId="0" borderId="0" xfId="0" applyFont="1" applyAlignment="1">
      <alignment horizontal="center" vertical="center"/>
    </xf>
    <xf numFmtId="0" fontId="3" fillId="5" borderId="3" xfId="0" applyFont="1" applyFill="1" applyBorder="1" applyAlignment="1" applyProtection="1">
      <alignment vertical="center" wrapText="1"/>
      <protection hidden="1"/>
    </xf>
    <xf numFmtId="0" fontId="0" fillId="0" borderId="0" xfId="0" quotePrefix="1" applyAlignment="1" applyProtection="1">
      <alignment horizontal="center" vertical="center"/>
      <protection hidden="1"/>
    </xf>
    <xf numFmtId="0" fontId="7" fillId="0" borderId="88" xfId="0" applyFont="1" applyBorder="1" applyAlignment="1">
      <alignment horizontal="center" vertical="center"/>
    </xf>
    <xf numFmtId="0" fontId="15" fillId="11" borderId="0" xfId="0" applyFont="1" applyFill="1" applyAlignment="1">
      <alignment vertical="top" wrapText="1"/>
    </xf>
    <xf numFmtId="0" fontId="42" fillId="0" borderId="0" xfId="0" applyFont="1" applyAlignment="1">
      <alignment horizontal="justify" vertical="center"/>
    </xf>
    <xf numFmtId="0" fontId="43" fillId="0" borderId="0" xfId="0" applyFont="1" applyAlignment="1">
      <alignment horizontal="justify" vertical="center"/>
    </xf>
    <xf numFmtId="0" fontId="6" fillId="0" borderId="0" xfId="1" applyAlignment="1">
      <alignment vertical="center"/>
    </xf>
    <xf numFmtId="0" fontId="0" fillId="0" borderId="0" xfId="0" applyAlignment="1">
      <alignment vertical="center"/>
    </xf>
    <xf numFmtId="0" fontId="43" fillId="0" borderId="0" xfId="0" applyFont="1" applyAlignment="1">
      <alignment vertical="center"/>
    </xf>
    <xf numFmtId="0" fontId="0" fillId="0" borderId="0" xfId="0" applyAlignment="1">
      <alignment horizontal="left" vertical="top" indent="2"/>
    </xf>
    <xf numFmtId="0" fontId="0" fillId="0" borderId="28" xfId="0" applyBorder="1" applyAlignment="1">
      <alignment vertical="center"/>
    </xf>
    <xf numFmtId="0" fontId="0" fillId="0" borderId="43" xfId="0" applyBorder="1" applyAlignment="1">
      <alignment vertical="center"/>
    </xf>
    <xf numFmtId="0" fontId="45" fillId="0" borderId="20" xfId="0" applyFont="1" applyBorder="1" applyAlignment="1">
      <alignment horizontal="justify" vertical="center"/>
    </xf>
    <xf numFmtId="0" fontId="0" fillId="0" borderId="21" xfId="0" applyBorder="1" applyAlignment="1">
      <alignment vertical="center"/>
    </xf>
    <xf numFmtId="0" fontId="46" fillId="0" borderId="22" xfId="0" applyFont="1" applyBorder="1" applyAlignment="1">
      <alignment horizontal="center" vertical="center" wrapText="1"/>
    </xf>
    <xf numFmtId="0" fontId="46" fillId="0" borderId="24" xfId="0" applyFont="1" applyBorder="1" applyAlignment="1">
      <alignment horizontal="center" vertical="center" wrapText="1"/>
    </xf>
    <xf numFmtId="0" fontId="43" fillId="0" borderId="21" xfId="0" applyFont="1" applyBorder="1" applyAlignment="1">
      <alignment vertical="center"/>
    </xf>
    <xf numFmtId="0" fontId="43" fillId="0" borderId="28" xfId="0" applyFont="1" applyBorder="1" applyAlignment="1">
      <alignment vertical="center"/>
    </xf>
    <xf numFmtId="0" fontId="43" fillId="0" borderId="43" xfId="0" applyFont="1" applyBorder="1" applyAlignment="1">
      <alignment vertical="center"/>
    </xf>
    <xf numFmtId="0" fontId="43" fillId="0" borderId="22" xfId="0" applyFont="1" applyBorder="1" applyAlignment="1">
      <alignment vertical="center"/>
    </xf>
    <xf numFmtId="0" fontId="43" fillId="0" borderId="24" xfId="0" applyFont="1" applyBorder="1" applyAlignment="1">
      <alignment vertical="center"/>
    </xf>
    <xf numFmtId="0" fontId="43" fillId="0" borderId="20" xfId="0" applyFont="1" applyBorder="1" applyAlignment="1">
      <alignment horizontal="justify" vertical="center"/>
    </xf>
    <xf numFmtId="0" fontId="43" fillId="0" borderId="20" xfId="0" applyFont="1" applyBorder="1" applyAlignment="1">
      <alignment vertical="center"/>
    </xf>
    <xf numFmtId="0" fontId="51" fillId="0" borderId="0" xfId="0" applyFont="1" applyAlignment="1">
      <alignment horizontal="center" vertical="center" wrapText="1"/>
    </xf>
    <xf numFmtId="0" fontId="52" fillId="0" borderId="0" xfId="0" applyFont="1" applyAlignment="1">
      <alignment vertical="center"/>
    </xf>
    <xf numFmtId="0" fontId="53" fillId="0" borderId="0" xfId="0" applyFont="1" applyAlignment="1">
      <alignment vertical="center"/>
    </xf>
    <xf numFmtId="0" fontId="52" fillId="0" borderId="0" xfId="0" applyFont="1"/>
    <xf numFmtId="0" fontId="52" fillId="0" borderId="0" xfId="0" applyFont="1" applyAlignment="1">
      <alignment horizontal="center"/>
    </xf>
    <xf numFmtId="0" fontId="52"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horizontal="center" vertical="center"/>
    </xf>
    <xf numFmtId="0" fontId="55" fillId="0" borderId="0" xfId="0" applyFont="1" applyAlignment="1">
      <alignment vertical="center"/>
    </xf>
    <xf numFmtId="0" fontId="54" fillId="0" borderId="0" xfId="0" applyFont="1" applyAlignment="1">
      <alignment vertical="center"/>
    </xf>
    <xf numFmtId="0" fontId="55" fillId="0" borderId="0" xfId="0" applyFont="1"/>
    <xf numFmtId="0" fontId="55" fillId="0" borderId="0" xfId="0" applyFont="1" applyAlignment="1">
      <alignment horizontal="center"/>
    </xf>
    <xf numFmtId="0" fontId="51" fillId="0" borderId="10" xfId="0" applyFont="1" applyBorder="1" applyAlignment="1">
      <alignment horizontal="center" vertical="center" wrapText="1"/>
    </xf>
    <xf numFmtId="0" fontId="51" fillId="0" borderId="34" xfId="0" applyFont="1" applyBorder="1" applyAlignment="1">
      <alignment horizontal="center" vertical="center" wrapText="1"/>
    </xf>
    <xf numFmtId="0" fontId="57" fillId="25" borderId="3" xfId="0" applyFont="1" applyFill="1" applyBorder="1" applyAlignment="1">
      <alignment horizontal="center" vertical="center" wrapText="1"/>
    </xf>
    <xf numFmtId="0" fontId="58" fillId="0" borderId="0" xfId="0" applyFont="1" applyAlignment="1">
      <alignment horizontal="left" vertical="center"/>
    </xf>
    <xf numFmtId="0" fontId="51" fillId="0" borderId="2" xfId="0" applyFont="1" applyBorder="1" applyAlignment="1">
      <alignment horizontal="center" vertical="center" wrapText="1"/>
    </xf>
    <xf numFmtId="0" fontId="60" fillId="0" borderId="0" xfId="1" applyFont="1"/>
    <xf numFmtId="0" fontId="52" fillId="0" borderId="0" xfId="0" applyFont="1" applyAlignment="1">
      <alignment horizontal="right" vertical="center"/>
    </xf>
    <xf numFmtId="0" fontId="57" fillId="0" borderId="0" xfId="0" applyFont="1" applyAlignment="1">
      <alignment vertical="center"/>
    </xf>
    <xf numFmtId="0" fontId="53" fillId="0" borderId="30" xfId="0" quotePrefix="1" applyFont="1" applyBorder="1" applyAlignment="1">
      <alignment horizontal="center" vertical="center"/>
    </xf>
    <xf numFmtId="0" fontId="57" fillId="0" borderId="3" xfId="0" applyFont="1" applyBorder="1" applyAlignment="1">
      <alignment vertical="center"/>
    </xf>
    <xf numFmtId="0" fontId="57" fillId="0" borderId="0" xfId="0" applyFont="1" applyAlignment="1">
      <alignment horizontal="center" vertical="center" textRotation="90" wrapText="1"/>
    </xf>
    <xf numFmtId="0" fontId="57" fillId="0" borderId="0" xfId="0" applyFont="1" applyAlignment="1">
      <alignment horizontal="center" vertical="center"/>
    </xf>
    <xf numFmtId="0" fontId="53" fillId="0" borderId="30" xfId="0" quotePrefix="1" applyFont="1" applyBorder="1" applyAlignment="1">
      <alignment horizontal="center" vertical="top"/>
    </xf>
    <xf numFmtId="0" fontId="52" fillId="0" borderId="6" xfId="0" applyFont="1" applyBorder="1" applyAlignment="1">
      <alignment vertical="center"/>
    </xf>
    <xf numFmtId="0" fontId="63" fillId="0" borderId="0" xfId="0" applyFont="1"/>
    <xf numFmtId="0" fontId="52" fillId="0" borderId="0" xfId="0" applyFont="1" applyAlignment="1">
      <alignment horizontal="center" vertical="center" wrapText="1"/>
    </xf>
    <xf numFmtId="0" fontId="52" fillId="0" borderId="0" xfId="0" applyFont="1" applyAlignment="1">
      <alignment horizontal="center" wrapText="1"/>
    </xf>
    <xf numFmtId="0" fontId="52" fillId="0" borderId="33" xfId="0" applyFont="1" applyBorder="1" applyAlignment="1">
      <alignment vertical="center"/>
    </xf>
    <xf numFmtId="0" fontId="52" fillId="0" borderId="10" xfId="0" applyFont="1" applyBorder="1" applyAlignment="1">
      <alignment vertical="center"/>
    </xf>
    <xf numFmtId="0" fontId="52" fillId="0" borderId="34" xfId="0" applyFont="1" applyBorder="1" applyAlignment="1">
      <alignment horizontal="right" vertical="center"/>
    </xf>
    <xf numFmtId="0" fontId="57" fillId="0" borderId="4" xfId="0" applyFont="1" applyBorder="1" applyAlignment="1" applyProtection="1">
      <alignment vertical="center" shrinkToFit="1"/>
      <protection locked="0"/>
    </xf>
    <xf numFmtId="0" fontId="52" fillId="0" borderId="6" xfId="0" applyFont="1" applyBorder="1" applyAlignment="1">
      <alignment horizontal="center" vertical="center"/>
    </xf>
    <xf numFmtId="0" fontId="52" fillId="0" borderId="2" xfId="0" applyFont="1" applyBorder="1" applyAlignment="1">
      <alignment horizontal="center" vertical="center"/>
    </xf>
    <xf numFmtId="0" fontId="57" fillId="0" borderId="4" xfId="0" applyFont="1" applyBorder="1" applyAlignment="1">
      <alignment vertical="center"/>
    </xf>
    <xf numFmtId="0" fontId="57" fillId="0" borderId="0" xfId="0" applyFont="1" applyAlignment="1">
      <alignment vertical="center" textRotation="90" wrapText="1"/>
    </xf>
    <xf numFmtId="0" fontId="57" fillId="5" borderId="1" xfId="0" applyFont="1" applyFill="1" applyBorder="1" applyAlignment="1">
      <alignment vertical="center"/>
    </xf>
    <xf numFmtId="0" fontId="53" fillId="0" borderId="0" xfId="0" applyFont="1" applyAlignment="1">
      <alignment horizontal="center" vertical="center"/>
    </xf>
    <xf numFmtId="0" fontId="53" fillId="0" borderId="0" xfId="0" applyFont="1" applyAlignment="1">
      <alignment horizontal="right"/>
    </xf>
    <xf numFmtId="0" fontId="53" fillId="0" borderId="0" xfId="0" applyFont="1"/>
    <xf numFmtId="0" fontId="53" fillId="0" borderId="0" xfId="0" applyFont="1" applyAlignment="1">
      <alignment horizontal="center"/>
    </xf>
    <xf numFmtId="0" fontId="57" fillId="0" borderId="1" xfId="0" applyFont="1" applyBorder="1" applyAlignment="1">
      <alignment vertical="center"/>
    </xf>
    <xf numFmtId="0" fontId="58" fillId="0" borderId="3" xfId="0" applyFont="1" applyBorder="1" applyAlignment="1">
      <alignment horizontal="center" vertical="top" wrapText="1"/>
    </xf>
    <xf numFmtId="0" fontId="64" fillId="0" borderId="3" xfId="0" applyFont="1" applyBorder="1" applyAlignment="1">
      <alignment horizontal="center" vertical="top" wrapText="1"/>
    </xf>
    <xf numFmtId="0" fontId="57" fillId="0" borderId="5" xfId="0" applyFont="1" applyBorder="1" applyAlignment="1">
      <alignment vertical="center"/>
    </xf>
    <xf numFmtId="0" fontId="57" fillId="25" borderId="3" xfId="0" applyFont="1" applyFill="1" applyBorder="1" applyAlignment="1" applyProtection="1">
      <alignment horizontal="center" vertical="center" wrapText="1"/>
      <protection locked="0"/>
    </xf>
    <xf numFmtId="0" fontId="57" fillId="0" borderId="3" xfId="0" applyFont="1" applyBorder="1" applyAlignment="1">
      <alignment horizontal="center" vertical="center" wrapText="1"/>
    </xf>
    <xf numFmtId="0" fontId="57" fillId="25" borderId="1" xfId="0" applyFont="1" applyFill="1" applyBorder="1" applyAlignment="1" applyProtection="1">
      <alignment horizontal="center" vertical="center" shrinkToFit="1"/>
      <protection locked="0"/>
    </xf>
    <xf numFmtId="0" fontId="52" fillId="0" borderId="7" xfId="0" applyFont="1" applyBorder="1" applyAlignment="1">
      <alignment horizontal="center" vertical="center"/>
    </xf>
    <xf numFmtId="0" fontId="52" fillId="0" borderId="9" xfId="0" applyFont="1" applyBorder="1" applyAlignment="1">
      <alignment horizontal="center" vertical="center"/>
    </xf>
    <xf numFmtId="0" fontId="52" fillId="0" borderId="8" xfId="0" applyFont="1" applyBorder="1" applyAlignment="1">
      <alignment horizontal="center" vertical="center"/>
    </xf>
    <xf numFmtId="0" fontId="57" fillId="5" borderId="3" xfId="0" applyFont="1" applyFill="1" applyBorder="1" applyAlignment="1">
      <alignment vertical="center"/>
    </xf>
    <xf numFmtId="0" fontId="57" fillId="12" borderId="3" xfId="0" applyFont="1" applyFill="1" applyBorder="1" applyAlignment="1" applyProtection="1">
      <alignment horizontal="center" vertical="center" wrapText="1"/>
      <protection locked="0"/>
    </xf>
    <xf numFmtId="0" fontId="64" fillId="0" borderId="0" xfId="0" applyFont="1"/>
    <xf numFmtId="0" fontId="52" fillId="11" borderId="0" xfId="0" applyFont="1" applyFill="1"/>
    <xf numFmtId="0" fontId="52" fillId="11" borderId="0" xfId="0" applyFont="1" applyFill="1" applyAlignment="1">
      <alignment vertical="center"/>
    </xf>
    <xf numFmtId="0" fontId="52" fillId="11" borderId="0" xfId="0" applyFont="1" applyFill="1" applyAlignment="1">
      <alignment horizontal="center" vertical="center"/>
    </xf>
    <xf numFmtId="0" fontId="53" fillId="0" borderId="34" xfId="0" applyFont="1" applyBorder="1" applyAlignment="1">
      <alignment horizontal="center" vertical="center" wrapText="1"/>
    </xf>
    <xf numFmtId="0" fontId="52" fillId="0" borderId="45" xfId="0" applyFont="1" applyBorder="1" applyAlignment="1">
      <alignment horizontal="center" vertical="center"/>
    </xf>
    <xf numFmtId="0" fontId="52" fillId="0" borderId="46" xfId="0" applyFont="1" applyBorder="1" applyAlignment="1">
      <alignment horizontal="center" vertical="center" wrapText="1"/>
    </xf>
    <xf numFmtId="0" fontId="53" fillId="0" borderId="91" xfId="0" applyFont="1" applyBorder="1" applyAlignment="1">
      <alignment horizontal="center" vertical="center" wrapText="1"/>
    </xf>
    <xf numFmtId="0" fontId="52" fillId="0" borderId="12" xfId="0" applyFont="1" applyBorder="1" applyAlignment="1">
      <alignment horizontal="center" vertical="center"/>
    </xf>
    <xf numFmtId="0" fontId="52" fillId="0" borderId="48" xfId="0" applyFont="1" applyBorder="1" applyAlignment="1">
      <alignment horizontal="center" vertical="center"/>
    </xf>
    <xf numFmtId="0" fontId="52" fillId="0" borderId="53" xfId="0" applyFont="1" applyBorder="1" applyAlignment="1">
      <alignment horizontal="center" vertical="center" wrapText="1"/>
    </xf>
    <xf numFmtId="0" fontId="53" fillId="0" borderId="87" xfId="0" applyFont="1" applyBorder="1" applyAlignment="1">
      <alignment horizontal="center" vertical="center" wrapText="1"/>
    </xf>
    <xf numFmtId="0" fontId="52" fillId="0" borderId="50" xfId="0" applyFont="1" applyBorder="1" applyAlignment="1">
      <alignment horizontal="center" wrapText="1"/>
    </xf>
    <xf numFmtId="0" fontId="52" fillId="0" borderId="51" xfId="0" applyFont="1" applyBorder="1" applyAlignment="1">
      <alignment horizontal="center" vertical="center"/>
    </xf>
    <xf numFmtId="0" fontId="52" fillId="0" borderId="52" xfId="0" applyFont="1" applyBorder="1" applyAlignment="1">
      <alignment horizontal="center" vertical="center" wrapText="1"/>
    </xf>
    <xf numFmtId="0" fontId="52" fillId="0" borderId="0" xfId="0" applyFont="1" applyAlignment="1">
      <alignment wrapText="1"/>
    </xf>
    <xf numFmtId="0" fontId="53" fillId="0" borderId="31" xfId="0" applyFont="1" applyBorder="1" applyAlignment="1">
      <alignment horizontal="right" vertical="center"/>
    </xf>
    <xf numFmtId="0" fontId="53" fillId="0" borderId="31" xfId="0" applyFont="1" applyBorder="1" applyAlignment="1">
      <alignment horizontal="center" vertical="center"/>
    </xf>
    <xf numFmtId="0" fontId="53" fillId="0" borderId="0" xfId="0" applyFont="1" applyAlignment="1">
      <alignment horizontal="right" vertical="center"/>
    </xf>
    <xf numFmtId="0" fontId="52" fillId="0" borderId="2" xfId="0" applyFont="1" applyBorder="1" applyAlignment="1">
      <alignment vertical="center"/>
    </xf>
    <xf numFmtId="0" fontId="67" fillId="0" borderId="0" xfId="0" applyFont="1" applyAlignment="1">
      <alignment vertical="center"/>
    </xf>
    <xf numFmtId="0" fontId="57" fillId="0" borderId="3" xfId="0" applyFont="1" applyBorder="1" applyAlignment="1">
      <alignment horizontal="left" vertical="center" indent="1"/>
    </xf>
    <xf numFmtId="0" fontId="57" fillId="0" borderId="1" xfId="0" applyFont="1" applyBorder="1" applyAlignment="1">
      <alignment horizontal="center" vertical="center"/>
    </xf>
    <xf numFmtId="0" fontId="58" fillId="0" borderId="1" xfId="0" applyFont="1" applyBorder="1" applyAlignment="1">
      <alignment horizontal="center" vertical="center"/>
    </xf>
    <xf numFmtId="0" fontId="57" fillId="0" borderId="4" xfId="0" applyFont="1" applyBorder="1" applyAlignment="1">
      <alignment horizontal="left" vertical="center"/>
    </xf>
    <xf numFmtId="0" fontId="15" fillId="10" borderId="12" xfId="0" applyFont="1" applyFill="1" applyBorder="1" applyAlignment="1">
      <alignment horizontal="center" vertical="top" wrapText="1"/>
    </xf>
    <xf numFmtId="0" fontId="57" fillId="0" borderId="3" xfId="0" applyFont="1" applyBorder="1" applyAlignment="1">
      <alignment vertical="center" wrapText="1" shrinkToFit="1"/>
    </xf>
    <xf numFmtId="0" fontId="60" fillId="0" borderId="0" xfId="1" applyFont="1" applyProtection="1"/>
    <xf numFmtId="0" fontId="57" fillId="0" borderId="4" xfId="0" applyFont="1" applyBorder="1" applyAlignment="1">
      <alignment vertical="center" shrinkToFit="1"/>
    </xf>
    <xf numFmtId="0" fontId="57" fillId="25" borderId="1" xfId="0" applyFont="1" applyFill="1" applyBorder="1" applyAlignment="1">
      <alignment horizontal="center" vertical="center" shrinkToFit="1"/>
    </xf>
    <xf numFmtId="0" fontId="57" fillId="12"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0" fillId="0" borderId="31" xfId="0" applyFont="1" applyBorder="1" applyAlignment="1">
      <alignment vertical="center" wrapText="1"/>
    </xf>
    <xf numFmtId="0" fontId="10" fillId="22" borderId="31" xfId="0" applyFont="1" applyFill="1" applyBorder="1" applyAlignment="1">
      <alignment horizontal="center" vertical="center" wrapText="1"/>
    </xf>
    <xf numFmtId="0" fontId="11" fillId="22" borderId="31" xfId="0" applyFont="1" applyFill="1" applyBorder="1" applyAlignment="1">
      <alignment horizontal="center" vertical="center" wrapText="1"/>
    </xf>
    <xf numFmtId="0" fontId="10" fillId="23" borderId="31" xfId="0" applyFont="1" applyFill="1" applyBorder="1" applyAlignment="1">
      <alignment horizontal="center" vertical="center" wrapText="1"/>
    </xf>
    <xf numFmtId="0" fontId="10" fillId="24" borderId="31"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7" fillId="0" borderId="8" xfId="0" applyFont="1" applyBorder="1" applyAlignment="1">
      <alignment horizontal="center" vertical="center"/>
    </xf>
    <xf numFmtId="0" fontId="7" fillId="0" borderId="34" xfId="0" applyFont="1" applyBorder="1" applyAlignment="1">
      <alignment horizontal="center" vertical="center"/>
    </xf>
    <xf numFmtId="0" fontId="7" fillId="0" borderId="91" xfId="0" applyFont="1" applyBorder="1" applyAlignment="1">
      <alignment horizontal="center" vertical="center"/>
    </xf>
    <xf numFmtId="0" fontId="7" fillId="0" borderId="95" xfId="0" applyFont="1" applyBorder="1" applyAlignment="1">
      <alignment horizontal="center" vertical="center"/>
    </xf>
    <xf numFmtId="0" fontId="53" fillId="0" borderId="99" xfId="0" applyFont="1" applyBorder="1" applyAlignment="1">
      <alignment horizontal="center" vertical="center" wrapText="1"/>
    </xf>
    <xf numFmtId="0" fontId="53" fillId="0" borderId="100" xfId="0" applyFont="1" applyBorder="1" applyAlignment="1">
      <alignment horizontal="center" vertical="center" wrapText="1"/>
    </xf>
    <xf numFmtId="0" fontId="53" fillId="0" borderId="102" xfId="0" applyFont="1" applyBorder="1" applyAlignment="1">
      <alignment horizontal="center" vertical="center" wrapText="1"/>
    </xf>
    <xf numFmtId="0" fontId="57" fillId="25" borderId="3" xfId="0" applyFont="1" applyFill="1" applyBorder="1" applyAlignment="1">
      <alignment horizontal="left" vertical="center" wrapText="1"/>
    </xf>
    <xf numFmtId="0" fontId="57" fillId="25" borderId="5" xfId="0" applyFont="1" applyFill="1" applyBorder="1" applyAlignment="1">
      <alignment horizontal="left" vertical="center" wrapText="1"/>
    </xf>
    <xf numFmtId="0" fontId="57" fillId="25" borderId="4" xfId="0" applyFont="1" applyFill="1" applyBorder="1" applyAlignment="1">
      <alignment horizontal="left" vertical="center" wrapText="1"/>
    </xf>
    <xf numFmtId="0" fontId="68" fillId="0" borderId="96" xfId="0" applyFont="1" applyBorder="1" applyAlignment="1">
      <alignment horizontal="center" vertical="center" wrapText="1"/>
    </xf>
    <xf numFmtId="0" fontId="68" fillId="0" borderId="97" xfId="0" applyFont="1" applyBorder="1" applyAlignment="1">
      <alignment horizontal="center" vertical="center" wrapText="1"/>
    </xf>
    <xf numFmtId="0" fontId="52" fillId="0" borderId="89" xfId="0" applyFont="1" applyBorder="1" applyAlignment="1">
      <alignment horizontal="left" vertical="center" wrapText="1"/>
    </xf>
    <xf numFmtId="0" fontId="52" fillId="0" borderId="90" xfId="0" applyFont="1" applyBorder="1" applyAlignment="1">
      <alignment horizontal="left" vertical="center" wrapText="1"/>
    </xf>
    <xf numFmtId="0" fontId="52" fillId="0" borderId="7" xfId="0" applyFont="1" applyBorder="1" applyAlignment="1">
      <alignment horizontal="left" vertical="center" wrapText="1"/>
    </xf>
    <xf numFmtId="0" fontId="52" fillId="0" borderId="9" xfId="0" applyFont="1" applyBorder="1" applyAlignment="1">
      <alignment horizontal="left" vertical="center" wrapText="1"/>
    </xf>
    <xf numFmtId="0" fontId="57" fillId="0" borderId="33" xfId="0" applyFont="1" applyBorder="1" applyAlignment="1">
      <alignment horizontal="left" vertical="center" wrapText="1"/>
    </xf>
    <xf numFmtId="0" fontId="57" fillId="0" borderId="10" xfId="0" applyFont="1" applyBorder="1" applyAlignment="1">
      <alignment horizontal="left" vertical="center" wrapText="1"/>
    </xf>
    <xf numFmtId="0" fontId="57" fillId="0" borderId="34" xfId="0" applyFont="1" applyBorder="1" applyAlignment="1">
      <alignment horizontal="left" vertical="center" wrapText="1"/>
    </xf>
    <xf numFmtId="0" fontId="57" fillId="0" borderId="6" xfId="0" applyFont="1" applyBorder="1" applyAlignment="1">
      <alignment horizontal="left" vertical="center" wrapText="1"/>
    </xf>
    <xf numFmtId="0" fontId="57" fillId="0" borderId="0" xfId="0" applyFont="1" applyAlignment="1">
      <alignment horizontal="left" vertical="center" wrapText="1"/>
    </xf>
    <xf numFmtId="0" fontId="57" fillId="0" borderId="2" xfId="0" applyFont="1" applyBorder="1" applyAlignment="1">
      <alignment horizontal="left" vertical="center" wrapText="1"/>
    </xf>
    <xf numFmtId="0" fontId="57" fillId="0" borderId="7" xfId="0" applyFont="1" applyBorder="1" applyAlignment="1">
      <alignment horizontal="left" vertical="center" wrapText="1"/>
    </xf>
    <xf numFmtId="0" fontId="57" fillId="0" borderId="9" xfId="0" applyFont="1" applyBorder="1" applyAlignment="1">
      <alignment horizontal="left" vertical="center" wrapText="1"/>
    </xf>
    <xf numFmtId="0" fontId="57" fillId="0" borderId="8" xfId="0" applyFont="1" applyBorder="1" applyAlignment="1">
      <alignment horizontal="left" vertical="center" wrapText="1"/>
    </xf>
    <xf numFmtId="0" fontId="57" fillId="0" borderId="30" xfId="0" applyFont="1" applyBorder="1" applyAlignment="1">
      <alignment horizontal="center" vertical="center" textRotation="90" wrapText="1"/>
    </xf>
    <xf numFmtId="0" fontId="57" fillId="0" borderId="32" xfId="0" applyFont="1" applyBorder="1" applyAlignment="1">
      <alignment horizontal="center" vertical="center" textRotation="90" wrapText="1"/>
    </xf>
    <xf numFmtId="0" fontId="57" fillId="0" borderId="6" xfId="0" applyFont="1" applyBorder="1" applyAlignment="1">
      <alignment horizontal="center" vertical="center" textRotation="90" wrapText="1"/>
    </xf>
    <xf numFmtId="0" fontId="57" fillId="0" borderId="7" xfId="0" applyFont="1" applyBorder="1" applyAlignment="1">
      <alignment horizontal="center" vertical="center" textRotation="90" wrapText="1"/>
    </xf>
    <xf numFmtId="0" fontId="68" fillId="0" borderId="98" xfId="0" applyFont="1" applyBorder="1" applyAlignment="1">
      <alignment horizontal="left" vertical="center" wrapText="1"/>
    </xf>
    <xf numFmtId="0" fontId="68" fillId="0" borderId="9" xfId="0" applyFont="1" applyBorder="1" applyAlignment="1">
      <alignment horizontal="left" vertical="center" wrapText="1"/>
    </xf>
    <xf numFmtId="0" fontId="68" fillId="0" borderId="98" xfId="0" applyFont="1" applyBorder="1" applyAlignment="1">
      <alignment horizontal="center" vertical="center" wrapText="1"/>
    </xf>
    <xf numFmtId="0" fontId="68" fillId="0" borderId="87" xfId="0" applyFont="1" applyBorder="1" applyAlignment="1">
      <alignment horizontal="center" vertical="center" wrapText="1"/>
    </xf>
    <xf numFmtId="0" fontId="57" fillId="0" borderId="7" xfId="0" applyFont="1" applyBorder="1" applyAlignment="1">
      <alignment horizontal="left" vertical="center" wrapText="1" indent="1"/>
    </xf>
    <xf numFmtId="0" fontId="57" fillId="0" borderId="9" xfId="0" applyFont="1" applyBorder="1" applyAlignment="1">
      <alignment horizontal="left" vertical="center" wrapText="1" indent="1"/>
    </xf>
    <xf numFmtId="0" fontId="57" fillId="0" borderId="8" xfId="0" applyFont="1" applyBorder="1" applyAlignment="1">
      <alignment horizontal="left" vertical="center" wrapText="1" indent="1"/>
    </xf>
    <xf numFmtId="0" fontId="57" fillId="0" borderId="6" xfId="0" applyFont="1" applyBorder="1" applyAlignment="1">
      <alignment horizontal="left" vertical="center" wrapText="1" indent="1"/>
    </xf>
    <xf numFmtId="0" fontId="57" fillId="0" borderId="0" xfId="0" applyFont="1" applyAlignment="1">
      <alignment horizontal="left" vertical="center" wrapText="1" indent="1"/>
    </xf>
    <xf numFmtId="0" fontId="57" fillId="0" borderId="2" xfId="0" applyFont="1" applyBorder="1" applyAlignment="1">
      <alignment horizontal="left" vertical="center" wrapText="1" indent="1"/>
    </xf>
    <xf numFmtId="0" fontId="61" fillId="0" borderId="32" xfId="0" applyFont="1" applyBorder="1" applyAlignment="1">
      <alignment horizontal="center" vertical="center" textRotation="90" wrapText="1"/>
    </xf>
    <xf numFmtId="0" fontId="61" fillId="0" borderId="31" xfId="0" applyFont="1" applyBorder="1" applyAlignment="1">
      <alignment horizontal="center" vertical="center" textRotation="90" wrapText="1"/>
    </xf>
    <xf numFmtId="0" fontId="57" fillId="0" borderId="31" xfId="0" applyFont="1" applyBorder="1" applyAlignment="1">
      <alignment horizontal="center" vertical="center" textRotation="90" wrapText="1"/>
    </xf>
    <xf numFmtId="0" fontId="58" fillId="0" borderId="3" xfId="0" applyFont="1" applyBorder="1" applyAlignment="1">
      <alignment horizontal="left" vertical="center" wrapText="1"/>
    </xf>
    <xf numFmtId="0" fontId="58" fillId="0" borderId="4" xfId="0" applyFont="1" applyBorder="1" applyAlignment="1">
      <alignment horizontal="left" vertical="center" wrapText="1"/>
    </xf>
    <xf numFmtId="0" fontId="69" fillId="0" borderId="9" xfId="0" applyFont="1" applyBorder="1" applyAlignment="1">
      <alignment horizontal="center" vertical="top" wrapText="1"/>
    </xf>
    <xf numFmtId="0" fontId="58" fillId="0" borderId="3" xfId="0" applyFont="1" applyBorder="1" applyAlignment="1">
      <alignment horizontal="center" vertical="center"/>
    </xf>
    <xf numFmtId="0" fontId="58" fillId="0" borderId="5" xfId="0" applyFont="1" applyBorder="1" applyAlignment="1">
      <alignment horizontal="center" vertical="center"/>
    </xf>
    <xf numFmtId="0" fontId="58" fillId="0" borderId="4" xfId="0" applyFont="1" applyBorder="1" applyAlignment="1">
      <alignment horizontal="center" vertical="center"/>
    </xf>
    <xf numFmtId="0" fontId="62" fillId="0" borderId="3" xfId="1" applyFont="1" applyFill="1" applyBorder="1" applyAlignment="1" applyProtection="1">
      <alignment horizontal="center" vertical="center" wrapText="1"/>
      <protection locked="0"/>
    </xf>
    <xf numFmtId="0" fontId="62" fillId="0" borderId="5" xfId="1" applyFont="1" applyFill="1" applyBorder="1" applyAlignment="1" applyProtection="1">
      <alignment horizontal="center" vertical="center" wrapText="1"/>
      <protection locked="0"/>
    </xf>
    <xf numFmtId="0" fontId="62" fillId="0" borderId="4" xfId="1" applyFont="1" applyFill="1" applyBorder="1" applyAlignment="1" applyProtection="1">
      <alignment horizontal="center" vertical="center" wrapText="1"/>
      <protection locked="0"/>
    </xf>
    <xf numFmtId="0" fontId="57" fillId="25" borderId="3" xfId="0" applyFont="1" applyFill="1" applyBorder="1" applyAlignment="1" applyProtection="1">
      <alignment horizontal="left" vertical="center"/>
      <protection locked="0"/>
    </xf>
    <xf numFmtId="0" fontId="57" fillId="25" borderId="5" xfId="0" applyFont="1" applyFill="1" applyBorder="1" applyAlignment="1" applyProtection="1">
      <alignment horizontal="left" vertical="center"/>
      <protection locked="0"/>
    </xf>
    <xf numFmtId="0" fontId="57" fillId="25" borderId="4" xfId="0" applyFont="1" applyFill="1" applyBorder="1" applyAlignment="1" applyProtection="1">
      <alignment horizontal="left" vertical="center"/>
      <protection locked="0"/>
    </xf>
    <xf numFmtId="0" fontId="57" fillId="10" borderId="3" xfId="0" applyFont="1" applyFill="1" applyBorder="1" applyAlignment="1" applyProtection="1">
      <alignment horizontal="left" vertical="center" wrapText="1"/>
      <protection hidden="1"/>
    </xf>
    <xf numFmtId="0" fontId="57" fillId="10" borderId="5" xfId="0" applyFont="1" applyFill="1" applyBorder="1" applyAlignment="1" applyProtection="1">
      <alignment horizontal="left" vertical="center" wrapText="1"/>
      <protection hidden="1"/>
    </xf>
    <xf numFmtId="0" fontId="57" fillId="10" borderId="4" xfId="0" applyFont="1" applyFill="1" applyBorder="1" applyAlignment="1" applyProtection="1">
      <alignment horizontal="left" vertical="center" wrapText="1"/>
      <protection hidden="1"/>
    </xf>
    <xf numFmtId="0" fontId="57" fillId="25" borderId="3" xfId="0" applyFont="1" applyFill="1" applyBorder="1" applyAlignment="1" applyProtection="1">
      <alignment horizontal="left" vertical="center" wrapText="1" shrinkToFit="1"/>
      <protection locked="0"/>
    </xf>
    <xf numFmtId="0" fontId="57" fillId="25" borderId="5" xfId="0" applyFont="1" applyFill="1" applyBorder="1" applyAlignment="1" applyProtection="1">
      <alignment horizontal="left" vertical="center" wrapText="1" shrinkToFit="1"/>
      <protection locked="0"/>
    </xf>
    <xf numFmtId="0" fontId="57" fillId="25" borderId="4" xfId="0" applyFont="1" applyFill="1" applyBorder="1" applyAlignment="1" applyProtection="1">
      <alignment horizontal="left" vertical="center" wrapText="1" shrinkToFit="1"/>
      <protection locked="0"/>
    </xf>
    <xf numFmtId="0" fontId="56" fillId="0" borderId="33" xfId="0" applyFont="1" applyBorder="1" applyAlignment="1">
      <alignment horizontal="left" vertical="center" indent="1"/>
    </xf>
    <xf numFmtId="0" fontId="56" fillId="0" borderId="10" xfId="0" applyFont="1" applyBorder="1" applyAlignment="1">
      <alignment horizontal="left" vertical="center" indent="1"/>
    </xf>
    <xf numFmtId="0" fontId="57" fillId="0" borderId="6" xfId="0" applyFont="1" applyBorder="1" applyAlignment="1">
      <alignment horizontal="left" vertical="center" indent="1"/>
    </xf>
    <xf numFmtId="0" fontId="57" fillId="0" borderId="0" xfId="0" applyFont="1" applyAlignment="1">
      <alignment horizontal="left" vertical="center" indent="1"/>
    </xf>
    <xf numFmtId="0" fontId="59" fillId="0" borderId="0" xfId="1" applyFont="1" applyBorder="1" applyAlignment="1" applyProtection="1">
      <alignment horizontal="center" vertical="center" wrapText="1"/>
      <protection locked="0"/>
    </xf>
    <xf numFmtId="0" fontId="59" fillId="0" borderId="2" xfId="1" applyFont="1" applyBorder="1" applyAlignment="1" applyProtection="1">
      <alignment horizontal="center" vertical="center" wrapText="1"/>
      <protection locked="0"/>
    </xf>
    <xf numFmtId="0" fontId="56" fillId="0" borderId="6" xfId="0" applyFont="1" applyBorder="1" applyAlignment="1">
      <alignment horizontal="left" vertical="center" indent="1"/>
    </xf>
    <xf numFmtId="0" fontId="56" fillId="0" borderId="0" xfId="0" applyFont="1" applyAlignment="1">
      <alignment horizontal="left" vertical="center" indent="1"/>
    </xf>
    <xf numFmtId="0" fontId="57" fillId="25" borderId="5" xfId="0" applyFont="1" applyFill="1" applyBorder="1" applyAlignment="1" applyProtection="1">
      <alignment horizontal="left" vertical="center" wrapText="1"/>
      <protection locked="0"/>
    </xf>
    <xf numFmtId="0" fontId="57" fillId="25" borderId="4" xfId="0" applyFont="1" applyFill="1" applyBorder="1" applyAlignment="1" applyProtection="1">
      <alignment horizontal="left" vertical="center" wrapText="1"/>
      <protection locked="0"/>
    </xf>
    <xf numFmtId="0" fontId="68" fillId="25" borderId="3" xfId="0" applyFont="1" applyFill="1" applyBorder="1" applyAlignment="1" applyProtection="1">
      <alignment horizontal="left" vertical="center" wrapText="1"/>
      <protection locked="0"/>
    </xf>
    <xf numFmtId="0" fontId="68" fillId="25" borderId="5" xfId="0" applyFont="1" applyFill="1" applyBorder="1" applyAlignment="1" applyProtection="1">
      <alignment horizontal="left" vertical="center" wrapText="1"/>
      <protection locked="0"/>
    </xf>
    <xf numFmtId="0" fontId="68" fillId="25" borderId="4" xfId="0" applyFont="1" applyFill="1" applyBorder="1" applyAlignment="1" applyProtection="1">
      <alignment horizontal="left" vertical="center" wrapText="1"/>
      <protection locked="0"/>
    </xf>
    <xf numFmtId="0" fontId="52" fillId="0" borderId="0" xfId="0" applyFont="1" applyAlignment="1">
      <alignment horizontal="center" wrapText="1"/>
    </xf>
    <xf numFmtId="0" fontId="58" fillId="0" borderId="1" xfId="0" applyFont="1" applyBorder="1" applyAlignment="1">
      <alignment horizontal="center" vertical="center" wrapText="1"/>
    </xf>
    <xf numFmtId="0" fontId="58" fillId="0" borderId="3"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8" fillId="0" borderId="4"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3" xfId="0" applyFont="1" applyBorder="1" applyAlignment="1">
      <alignment horizontal="center" vertical="center" wrapText="1"/>
    </xf>
    <xf numFmtId="0" fontId="52" fillId="0" borderId="44" xfId="0" applyFont="1" applyBorder="1" applyAlignment="1">
      <alignment horizontal="center" wrapText="1"/>
    </xf>
    <xf numFmtId="0" fontId="52" fillId="0" borderId="56" xfId="0" applyFont="1" applyBorder="1" applyAlignment="1">
      <alignment horizontal="center" wrapText="1"/>
    </xf>
    <xf numFmtId="0" fontId="52" fillId="0" borderId="47" xfId="0" applyFont="1" applyBorder="1" applyAlignment="1">
      <alignment horizontal="center" wrapText="1"/>
    </xf>
    <xf numFmtId="0" fontId="52" fillId="0" borderId="93" xfId="0" applyFont="1" applyBorder="1" applyAlignment="1">
      <alignment horizontal="center" vertical="center" wrapText="1"/>
    </xf>
    <xf numFmtId="0" fontId="52" fillId="0" borderId="92" xfId="0" applyFont="1" applyBorder="1" applyAlignment="1">
      <alignment horizontal="center" vertical="center" wrapText="1"/>
    </xf>
    <xf numFmtId="0" fontId="52" fillId="0" borderId="85" xfId="0" applyFont="1" applyBorder="1" applyAlignment="1">
      <alignment horizontal="left" vertical="center" wrapText="1"/>
    </xf>
    <xf numFmtId="0" fontId="52" fillId="0" borderId="86" xfId="0" applyFont="1" applyBorder="1" applyAlignment="1">
      <alignment horizontal="left" vertical="center" wrapText="1"/>
    </xf>
    <xf numFmtId="0" fontId="51" fillId="0" borderId="0" xfId="0" applyFont="1" applyAlignment="1">
      <alignment horizontal="center" vertical="center" wrapText="1"/>
    </xf>
    <xf numFmtId="164" fontId="57" fillId="25" borderId="3" xfId="0" applyNumberFormat="1" applyFont="1" applyFill="1" applyBorder="1" applyAlignment="1" applyProtection="1">
      <alignment horizontal="left" vertical="center" wrapText="1"/>
      <protection locked="0"/>
    </xf>
    <xf numFmtId="164" fontId="57" fillId="25" borderId="5" xfId="0" applyNumberFormat="1" applyFont="1" applyFill="1" applyBorder="1" applyAlignment="1" applyProtection="1">
      <alignment horizontal="left" vertical="center" wrapText="1"/>
      <protection locked="0"/>
    </xf>
    <xf numFmtId="164" fontId="57" fillId="25" borderId="4" xfId="0" applyNumberFormat="1" applyFont="1" applyFill="1" applyBorder="1" applyAlignment="1" applyProtection="1">
      <alignment horizontal="left" vertical="center" wrapText="1"/>
      <protection locked="0"/>
    </xf>
    <xf numFmtId="0" fontId="57" fillId="0" borderId="6" xfId="0" quotePrefix="1" applyFont="1" applyBorder="1" applyAlignment="1">
      <alignment horizontal="left" vertical="center" wrapText="1"/>
    </xf>
    <xf numFmtId="0" fontId="59" fillId="0" borderId="0" xfId="1" applyFont="1" applyBorder="1" applyAlignment="1" applyProtection="1">
      <alignment horizontal="left" vertical="center"/>
      <protection locked="0"/>
    </xf>
    <xf numFmtId="0" fontId="59" fillId="0" borderId="2" xfId="1" applyFont="1" applyBorder="1" applyAlignment="1" applyProtection="1">
      <alignment horizontal="left" vertical="center"/>
      <protection locked="0"/>
    </xf>
    <xf numFmtId="0" fontId="57" fillId="25" borderId="3" xfId="0" applyFont="1" applyFill="1" applyBorder="1" applyAlignment="1">
      <alignment horizontal="center" vertical="center" wrapText="1"/>
    </xf>
    <xf numFmtId="0" fontId="57" fillId="25" borderId="5" xfId="0" applyFont="1" applyFill="1" applyBorder="1" applyAlignment="1">
      <alignment horizontal="center" vertical="center" wrapText="1"/>
    </xf>
    <xf numFmtId="0" fontId="57" fillId="25" borderId="4" xfId="0" applyFont="1" applyFill="1" applyBorder="1" applyAlignment="1">
      <alignment horizontal="center" vertical="center" wrapText="1"/>
    </xf>
    <xf numFmtId="0" fontId="57" fillId="25" borderId="3" xfId="0" applyFont="1" applyFill="1" applyBorder="1" applyAlignment="1" applyProtection="1">
      <alignment horizontal="left" vertical="center" wrapText="1"/>
      <protection locked="0"/>
    </xf>
    <xf numFmtId="0" fontId="52" fillId="0" borderId="0" xfId="0" applyFont="1" applyAlignment="1">
      <alignment horizontal="center" vertical="center" shrinkToFit="1"/>
    </xf>
    <xf numFmtId="0" fontId="57" fillId="0" borderId="7" xfId="0" quotePrefix="1" applyFont="1" applyBorder="1" applyAlignment="1">
      <alignment horizontal="left" vertical="center" wrapText="1"/>
    </xf>
    <xf numFmtId="0" fontId="65" fillId="0" borderId="1" xfId="0" applyFont="1" applyBorder="1" applyAlignment="1">
      <alignment horizontal="center" vertical="center" wrapText="1"/>
    </xf>
    <xf numFmtId="0" fontId="66" fillId="0" borderId="1" xfId="0" applyFont="1" applyBorder="1" applyAlignment="1">
      <alignment horizontal="center" vertical="center" wrapText="1"/>
    </xf>
    <xf numFmtId="0" fontId="52" fillId="0" borderId="105" xfId="0" applyFont="1" applyBorder="1" applyAlignment="1">
      <alignment horizontal="left" vertical="center" wrapText="1"/>
    </xf>
    <xf numFmtId="0" fontId="52" fillId="0" borderId="103" xfId="0" applyFont="1" applyBorder="1" applyAlignment="1">
      <alignment horizontal="left" vertical="center" wrapText="1"/>
    </xf>
    <xf numFmtId="0" fontId="52" fillId="0" borderId="96" xfId="0" applyFont="1" applyBorder="1" applyAlignment="1">
      <alignment horizontal="left" vertical="center" wrapText="1"/>
    </xf>
    <xf numFmtId="0" fontId="52" fillId="0" borderId="104" xfId="0" applyFont="1" applyBorder="1" applyAlignment="1">
      <alignment horizontal="left" vertical="center" wrapText="1"/>
    </xf>
    <xf numFmtId="0" fontId="52" fillId="0" borderId="31" xfId="0" applyFont="1" applyBorder="1" applyAlignment="1">
      <alignment horizontal="left" vertical="center" wrapText="1"/>
    </xf>
    <xf numFmtId="0" fontId="52" fillId="0" borderId="101" xfId="0" applyFont="1" applyBorder="1" applyAlignment="1">
      <alignment horizontal="left" vertical="center" wrapText="1"/>
    </xf>
    <xf numFmtId="0" fontId="59" fillId="0" borderId="6" xfId="1" applyFont="1" applyBorder="1" applyAlignment="1" applyProtection="1">
      <alignment horizontal="left" vertical="center"/>
      <protection locked="0"/>
    </xf>
    <xf numFmtId="0" fontId="56" fillId="0" borderId="33" xfId="0" applyFont="1" applyBorder="1" applyAlignment="1">
      <alignment horizontal="left" vertical="center"/>
    </xf>
    <xf numFmtId="0" fontId="56" fillId="0" borderId="10" xfId="0" applyFont="1" applyBorder="1" applyAlignment="1">
      <alignment horizontal="left" vertical="center"/>
    </xf>
    <xf numFmtId="0" fontId="56" fillId="0" borderId="34" xfId="0" applyFont="1" applyBorder="1" applyAlignment="1">
      <alignment horizontal="left" vertical="center"/>
    </xf>
    <xf numFmtId="0" fontId="58" fillId="0" borderId="3" xfId="0" applyFont="1" applyBorder="1" applyAlignment="1">
      <alignment horizontal="left" vertical="center" indent="1"/>
    </xf>
    <xf numFmtId="0" fontId="58" fillId="0" borderId="4" xfId="0" applyFont="1" applyBorder="1" applyAlignment="1">
      <alignment horizontal="left" vertical="center" indent="1"/>
    </xf>
    <xf numFmtId="0" fontId="38" fillId="0" borderId="30"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1" xfId="0" applyFont="1" applyBorder="1" applyAlignment="1">
      <alignment horizontal="center" vertical="center" wrapText="1"/>
    </xf>
    <xf numFmtId="0" fontId="39" fillId="0" borderId="1" xfId="0" applyFont="1" applyBorder="1" applyAlignment="1">
      <alignment horizontal="center" vertical="center" wrapText="1"/>
    </xf>
    <xf numFmtId="0" fontId="8" fillId="0" borderId="10" xfId="0" applyFont="1" applyBorder="1" applyAlignment="1">
      <alignment horizontal="center" wrapText="1"/>
    </xf>
    <xf numFmtId="0" fontId="13" fillId="16" borderId="41" xfId="0" applyFont="1" applyFill="1" applyBorder="1" applyAlignment="1">
      <alignment horizontal="center" vertical="center" wrapText="1"/>
    </xf>
    <xf numFmtId="0" fontId="13" fillId="16" borderId="21" xfId="0" applyFont="1" applyFill="1" applyBorder="1" applyAlignment="1">
      <alignment horizontal="center" vertical="center" wrapText="1"/>
    </xf>
    <xf numFmtId="0" fontId="13" fillId="16" borderId="37" xfId="0" applyFont="1" applyFill="1" applyBorder="1" applyAlignment="1">
      <alignment horizontal="center" vertical="center" wrapText="1"/>
    </xf>
    <xf numFmtId="0" fontId="9" fillId="17" borderId="41" xfId="0" applyFont="1" applyFill="1" applyBorder="1" applyAlignment="1">
      <alignment horizontal="center" vertical="center"/>
    </xf>
    <xf numFmtId="0" fontId="9" fillId="17" borderId="21" xfId="0" applyFont="1" applyFill="1" applyBorder="1" applyAlignment="1">
      <alignment horizontal="center" vertical="center"/>
    </xf>
    <xf numFmtId="0" fontId="16" fillId="26" borderId="7" xfId="0" applyFont="1" applyFill="1" applyBorder="1" applyAlignment="1">
      <alignment horizontal="center" vertical="center" wrapText="1"/>
    </xf>
    <xf numFmtId="0" fontId="16" fillId="26" borderId="9" xfId="0" applyFont="1" applyFill="1" applyBorder="1" applyAlignment="1">
      <alignment horizontal="center" vertical="center" wrapText="1"/>
    </xf>
    <xf numFmtId="0" fontId="16" fillId="13" borderId="76" xfId="0" applyFont="1" applyFill="1" applyBorder="1" applyAlignment="1">
      <alignment horizontal="center" vertical="center" wrapText="1"/>
    </xf>
    <xf numFmtId="0" fontId="16" fillId="13" borderId="77" xfId="0" applyFont="1" applyFill="1" applyBorder="1" applyAlignment="1">
      <alignment horizontal="center" vertical="center" wrapText="1"/>
    </xf>
    <xf numFmtId="0" fontId="16" fillId="13" borderId="78" xfId="0" applyFont="1" applyFill="1" applyBorder="1" applyAlignment="1">
      <alignment horizontal="center" vertical="center" wrapText="1"/>
    </xf>
    <xf numFmtId="0" fontId="19" fillId="16" borderId="94"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9" fillId="16" borderId="78" xfId="0" applyFont="1" applyFill="1" applyBorder="1" applyAlignment="1">
      <alignment horizontal="center" vertical="center" wrapText="1"/>
    </xf>
    <xf numFmtId="0" fontId="16" fillId="14" borderId="94" xfId="0" applyFont="1" applyFill="1" applyBorder="1" applyAlignment="1">
      <alignment horizontal="center" vertical="center" wrapText="1"/>
    </xf>
    <xf numFmtId="0" fontId="16" fillId="14" borderId="77" xfId="0" applyFont="1" applyFill="1" applyBorder="1" applyAlignment="1">
      <alignment horizontal="center" vertical="center" wrapText="1"/>
    </xf>
    <xf numFmtId="0" fontId="16" fillId="14" borderId="78" xfId="0" applyFont="1" applyFill="1" applyBorder="1" applyAlignment="1">
      <alignment horizontal="center" vertical="center" wrapText="1"/>
    </xf>
    <xf numFmtId="0" fontId="16" fillId="17" borderId="76" xfId="0" applyFont="1" applyFill="1" applyBorder="1" applyAlignment="1">
      <alignment horizontal="center" vertical="center"/>
    </xf>
    <xf numFmtId="0" fontId="16" fillId="17" borderId="77" xfId="0" applyFont="1" applyFill="1" applyBorder="1" applyAlignment="1">
      <alignment horizontal="center" vertical="center"/>
    </xf>
    <xf numFmtId="0" fontId="16" fillId="17" borderId="78" xfId="0" applyFont="1" applyFill="1" applyBorder="1" applyAlignment="1">
      <alignment horizontal="center" vertical="center"/>
    </xf>
    <xf numFmtId="0" fontId="14" fillId="0" borderId="0" xfId="0" applyFont="1" applyAlignment="1">
      <alignment horizontal="left" vertical="center"/>
    </xf>
    <xf numFmtId="0" fontId="16" fillId="15" borderId="81" xfId="0" applyFont="1" applyFill="1" applyBorder="1" applyAlignment="1">
      <alignment horizontal="center" vertical="center" wrapText="1"/>
    </xf>
    <xf numFmtId="0" fontId="16" fillId="15" borderId="80" xfId="0" applyFont="1" applyFill="1" applyBorder="1" applyAlignment="1">
      <alignment horizontal="center" vertical="center" wrapText="1"/>
    </xf>
    <xf numFmtId="0" fontId="16" fillId="15" borderId="82"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3" borderId="37" xfId="0" applyFont="1" applyFill="1" applyBorder="1" applyAlignment="1">
      <alignment horizontal="center" vertical="center" wrapText="1"/>
    </xf>
    <xf numFmtId="0" fontId="9" fillId="14" borderId="38" xfId="0" applyFont="1" applyFill="1" applyBorder="1" applyAlignment="1">
      <alignment horizontal="center" vertical="center" wrapText="1"/>
    </xf>
    <xf numFmtId="0" fontId="9" fillId="14" borderId="40" xfId="0" applyFont="1" applyFill="1" applyBorder="1" applyAlignment="1">
      <alignment horizontal="center" vertical="center" wrapText="1"/>
    </xf>
    <xf numFmtId="0" fontId="9" fillId="14" borderId="39" xfId="0" applyFont="1" applyFill="1" applyBorder="1" applyAlignment="1">
      <alignment horizontal="center" vertical="center" wrapText="1"/>
    </xf>
    <xf numFmtId="0" fontId="9" fillId="15" borderId="38" xfId="0" applyFont="1" applyFill="1" applyBorder="1" applyAlignment="1">
      <alignment horizontal="center" vertical="center" wrapText="1"/>
    </xf>
    <xf numFmtId="0" fontId="9" fillId="15" borderId="40" xfId="0" applyFont="1" applyFill="1" applyBorder="1" applyAlignment="1">
      <alignment horizontal="center" vertical="center" wrapText="1"/>
    </xf>
    <xf numFmtId="0" fontId="14" fillId="0" borderId="0" xfId="0" applyFont="1" applyAlignment="1">
      <alignment horizontal="left" vertical="center" wrapText="1"/>
    </xf>
    <xf numFmtId="0" fontId="46" fillId="0" borderId="0" xfId="0" applyFont="1" applyAlignment="1">
      <alignment horizontal="center" vertical="center" wrapText="1"/>
    </xf>
    <xf numFmtId="0" fontId="43" fillId="0" borderId="0" xfId="0" applyFont="1" applyAlignment="1">
      <alignment horizontal="justify" vertical="center" wrapText="1"/>
    </xf>
    <xf numFmtId="0" fontId="43" fillId="0" borderId="20" xfId="0" applyFont="1" applyBorder="1" applyAlignment="1">
      <alignment horizontal="justify" vertical="center" wrapText="1"/>
    </xf>
    <xf numFmtId="0" fontId="43" fillId="0" borderId="21" xfId="0" applyFont="1" applyBorder="1" applyAlignment="1">
      <alignment horizontal="justify"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46"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3" fillId="0" borderId="20" xfId="0" applyFont="1" applyBorder="1" applyAlignment="1">
      <alignment horizontal="left" vertical="center" wrapText="1" indent="1"/>
    </xf>
    <xf numFmtId="0" fontId="43" fillId="0" borderId="21" xfId="0" applyFont="1" applyBorder="1" applyAlignment="1">
      <alignment horizontal="left" vertical="center" wrapText="1" indent="1"/>
    </xf>
    <xf numFmtId="0" fontId="47" fillId="0" borderId="20" xfId="1" applyFont="1" applyBorder="1" applyAlignment="1">
      <alignment horizontal="left" vertical="top" indent="2"/>
    </xf>
    <xf numFmtId="0" fontId="47" fillId="0" borderId="21" xfId="1" applyFont="1" applyBorder="1" applyAlignment="1">
      <alignment horizontal="left" vertical="top" indent="2"/>
    </xf>
    <xf numFmtId="0" fontId="43" fillId="0" borderId="20" xfId="0" applyFont="1" applyBorder="1" applyAlignment="1">
      <alignment horizontal="center" vertical="center"/>
    </xf>
    <xf numFmtId="0" fontId="43" fillId="0" borderId="21" xfId="0" applyFont="1" applyBorder="1" applyAlignment="1">
      <alignment horizontal="center" vertical="center"/>
    </xf>
    <xf numFmtId="0" fontId="44" fillId="0" borderId="0" xfId="0" applyFont="1" applyAlignment="1">
      <alignment horizontal="center" vertical="center" wrapText="1"/>
    </xf>
    <xf numFmtId="0" fontId="0" fillId="0" borderId="0" xfId="0" applyAlignment="1">
      <alignment horizontal="center" vertical="center"/>
    </xf>
    <xf numFmtId="0" fontId="6" fillId="0" borderId="20" xfId="1" applyBorder="1" applyAlignment="1">
      <alignment horizontal="left" vertical="center" indent="1"/>
    </xf>
    <xf numFmtId="0" fontId="6" fillId="0" borderId="21" xfId="1" applyBorder="1" applyAlignment="1">
      <alignment horizontal="left" vertical="center" indent="1"/>
    </xf>
    <xf numFmtId="0" fontId="43" fillId="0" borderId="20" xfId="0" applyFont="1" applyBorder="1" applyAlignment="1">
      <alignment horizontal="left" vertical="center" wrapText="1" indent="3"/>
    </xf>
    <xf numFmtId="0" fontId="43" fillId="0" borderId="21" xfId="0" applyFont="1" applyBorder="1" applyAlignment="1">
      <alignment horizontal="left" vertical="center" wrapText="1" indent="3"/>
    </xf>
    <xf numFmtId="0" fontId="50" fillId="0" borderId="20" xfId="0" applyFont="1" applyBorder="1" applyAlignment="1">
      <alignment horizontal="justify" vertical="center" wrapText="1"/>
    </xf>
    <xf numFmtId="0" fontId="50" fillId="0" borderId="21" xfId="0" applyFont="1" applyBorder="1" applyAlignment="1">
      <alignment horizontal="justify" vertical="center" wrapText="1"/>
    </xf>
    <xf numFmtId="0" fontId="49" fillId="0" borderId="20" xfId="0" applyFont="1" applyBorder="1" applyAlignment="1">
      <alignment horizontal="justify" vertical="center" wrapText="1"/>
    </xf>
    <xf numFmtId="0" fontId="49" fillId="0" borderId="21" xfId="0" applyFont="1" applyBorder="1" applyAlignment="1">
      <alignment horizontal="justify" vertical="center" wrapText="1"/>
    </xf>
    <xf numFmtId="0" fontId="48" fillId="0" borderId="20" xfId="0" applyFont="1" applyBorder="1" applyAlignment="1">
      <alignment horizontal="justify" vertical="center" wrapText="1"/>
    </xf>
    <xf numFmtId="0" fontId="48" fillId="0" borderId="21" xfId="0" applyFont="1" applyBorder="1" applyAlignment="1">
      <alignment horizontal="justify" vertical="center" wrapText="1"/>
    </xf>
    <xf numFmtId="0" fontId="43" fillId="0" borderId="20" xfId="0" applyFont="1" applyBorder="1" applyAlignment="1">
      <alignment horizontal="left" vertical="center" wrapText="1"/>
    </xf>
    <xf numFmtId="0" fontId="43" fillId="0" borderId="21" xfId="0" applyFont="1" applyBorder="1" applyAlignment="1">
      <alignment horizontal="left" vertical="center" wrapText="1"/>
    </xf>
    <xf numFmtId="0" fontId="3" fillId="5" borderId="10" xfId="0" applyFont="1" applyFill="1" applyBorder="1" applyAlignment="1" applyProtection="1">
      <alignment horizontal="center" vertical="center" wrapText="1"/>
      <protection hidden="1"/>
    </xf>
    <xf numFmtId="0" fontId="3" fillId="5" borderId="35" xfId="0" applyFont="1" applyFill="1" applyBorder="1" applyAlignment="1" applyProtection="1">
      <alignment horizontal="center" vertical="center"/>
      <protection hidden="1"/>
    </xf>
    <xf numFmtId="0" fontId="3" fillId="5" borderId="9" xfId="0" applyFont="1" applyFill="1" applyBorder="1" applyAlignment="1" applyProtection="1">
      <alignment horizontal="center" vertical="center"/>
      <protection hidden="1"/>
    </xf>
    <xf numFmtId="0" fontId="3" fillId="5" borderId="36" xfId="0" applyFont="1" applyFill="1" applyBorder="1" applyAlignment="1" applyProtection="1">
      <alignment horizontal="center" vertical="center"/>
      <protection hidden="1"/>
    </xf>
    <xf numFmtId="0" fontId="3" fillId="5" borderId="35"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wrapText="1"/>
      <protection hidden="1"/>
    </xf>
    <xf numFmtId="0" fontId="3" fillId="5" borderId="36" xfId="0" applyFont="1" applyFill="1" applyBorder="1" applyAlignment="1" applyProtection="1">
      <alignment horizontal="center" vertical="center" wrapText="1"/>
      <protection hidden="1"/>
    </xf>
    <xf numFmtId="0" fontId="3" fillId="5" borderId="5" xfId="0" applyFont="1" applyFill="1" applyBorder="1" applyAlignment="1" applyProtection="1">
      <alignment horizontal="center" vertical="center" wrapText="1"/>
      <protection hidden="1"/>
    </xf>
    <xf numFmtId="0" fontId="3" fillId="5" borderId="3" xfId="0" applyFont="1" applyFill="1" applyBorder="1" applyAlignment="1" applyProtection="1">
      <alignment horizontal="center" vertical="center" wrapText="1"/>
      <protection hidden="1"/>
    </xf>
    <xf numFmtId="0" fontId="3" fillId="5" borderId="4" xfId="0" applyFont="1" applyFill="1" applyBorder="1" applyAlignment="1" applyProtection="1">
      <alignment horizontal="center" vertical="center" wrapText="1"/>
      <protection hidden="1"/>
    </xf>
    <xf numFmtId="0" fontId="3" fillId="5" borderId="42" xfId="0" applyFont="1" applyFill="1" applyBorder="1" applyAlignment="1" applyProtection="1">
      <alignment horizontal="center" vertical="center" wrapText="1"/>
      <protection hidden="1"/>
    </xf>
    <xf numFmtId="0" fontId="3" fillId="5" borderId="16" xfId="0" applyFont="1" applyFill="1" applyBorder="1" applyAlignment="1" applyProtection="1">
      <alignment horizontal="center" vertical="center" wrapText="1"/>
      <protection hidden="1"/>
    </xf>
    <xf numFmtId="0" fontId="3" fillId="5" borderId="17" xfId="0" applyFont="1" applyFill="1" applyBorder="1" applyAlignment="1" applyProtection="1">
      <alignment horizontal="center" vertical="center" wrapText="1"/>
      <protection hidden="1"/>
    </xf>
    <xf numFmtId="0" fontId="59" fillId="0" borderId="6" xfId="1" applyFont="1" applyBorder="1" applyAlignment="1" applyProtection="1">
      <alignment horizontal="left" vertical="center"/>
    </xf>
    <xf numFmtId="0" fontId="59" fillId="0" borderId="0" xfId="1" applyFont="1" applyBorder="1" applyAlignment="1" applyProtection="1">
      <alignment horizontal="left" vertical="center"/>
    </xf>
    <xf numFmtId="0" fontId="52" fillId="0" borderId="91" xfId="0" applyFont="1" applyBorder="1" applyAlignment="1">
      <alignment horizontal="left" vertical="center" wrapText="1"/>
    </xf>
    <xf numFmtId="0" fontId="57" fillId="0" borderId="1" xfId="0" applyFont="1" applyBorder="1" applyAlignment="1">
      <alignment horizontal="left" vertical="center" wrapText="1"/>
    </xf>
    <xf numFmtId="0" fontId="52" fillId="0" borderId="1" xfId="0" applyFont="1" applyBorder="1" applyAlignment="1">
      <alignment horizontal="left" vertical="center" wrapText="1"/>
    </xf>
    <xf numFmtId="0" fontId="59" fillId="0" borderId="2" xfId="1" applyFont="1" applyBorder="1" applyAlignment="1" applyProtection="1">
      <alignment horizontal="left" vertical="center"/>
    </xf>
    <xf numFmtId="0" fontId="57" fillId="25" borderId="5" xfId="0" applyFont="1" applyFill="1" applyBorder="1" applyAlignment="1">
      <alignment horizontal="left" vertical="center" wrapText="1"/>
    </xf>
    <xf numFmtId="0" fontId="57" fillId="25" borderId="4" xfId="0" applyFont="1" applyFill="1" applyBorder="1" applyAlignment="1">
      <alignment horizontal="left" vertical="center" wrapText="1"/>
    </xf>
    <xf numFmtId="0" fontId="68" fillId="25" borderId="3" xfId="0" applyFont="1" applyFill="1" applyBorder="1" applyAlignment="1">
      <alignment horizontal="left" vertical="center" wrapText="1"/>
    </xf>
    <xf numFmtId="0" fontId="68" fillId="25" borderId="5" xfId="0" applyFont="1" applyFill="1" applyBorder="1" applyAlignment="1">
      <alignment horizontal="left" vertical="center" wrapText="1"/>
    </xf>
    <xf numFmtId="0" fontId="68" fillId="25" borderId="4" xfId="0" applyFont="1" applyFill="1" applyBorder="1" applyAlignment="1">
      <alignment horizontal="left" vertical="center" wrapText="1"/>
    </xf>
    <xf numFmtId="0" fontId="62" fillId="0" borderId="3" xfId="1" applyFont="1" applyFill="1" applyBorder="1" applyAlignment="1" applyProtection="1">
      <alignment horizontal="center" vertical="center" wrapText="1"/>
    </xf>
    <xf numFmtId="0" fontId="62" fillId="0" borderId="5" xfId="1" applyFont="1" applyFill="1" applyBorder="1" applyAlignment="1" applyProtection="1">
      <alignment horizontal="center" vertical="center" wrapText="1"/>
    </xf>
    <xf numFmtId="0" fontId="62" fillId="0" borderId="4" xfId="1" applyFont="1" applyFill="1" applyBorder="1" applyAlignment="1" applyProtection="1">
      <alignment horizontal="center" vertical="center" wrapText="1"/>
    </xf>
    <xf numFmtId="0" fontId="57" fillId="25" borderId="3" xfId="0" applyFont="1" applyFill="1" applyBorder="1" applyAlignment="1">
      <alignment horizontal="left" vertical="center"/>
    </xf>
    <xf numFmtId="0" fontId="57" fillId="25" borderId="5" xfId="0" applyFont="1" applyFill="1" applyBorder="1" applyAlignment="1">
      <alignment horizontal="left" vertical="center"/>
    </xf>
    <xf numFmtId="0" fontId="57" fillId="25" borderId="4" xfId="0" applyFont="1" applyFill="1" applyBorder="1" applyAlignment="1">
      <alignment horizontal="left" vertical="center"/>
    </xf>
    <xf numFmtId="0" fontId="57" fillId="25" borderId="3" xfId="0" applyFont="1" applyFill="1" applyBorder="1" applyAlignment="1">
      <alignment horizontal="left" vertical="center" wrapText="1" shrinkToFit="1"/>
    </xf>
    <xf numFmtId="0" fontId="57" fillId="25" borderId="5" xfId="0" applyFont="1" applyFill="1" applyBorder="1" applyAlignment="1">
      <alignment horizontal="left" vertical="center" wrapText="1" shrinkToFit="1"/>
    </xf>
    <xf numFmtId="0" fontId="57" fillId="25" borderId="4" xfId="0" applyFont="1" applyFill="1" applyBorder="1" applyAlignment="1">
      <alignment horizontal="left" vertical="center" wrapText="1" shrinkToFit="1"/>
    </xf>
    <xf numFmtId="0" fontId="57" fillId="25" borderId="3" xfId="0" applyFont="1" applyFill="1" applyBorder="1" applyAlignment="1">
      <alignment horizontal="left" vertical="center" wrapText="1"/>
    </xf>
    <xf numFmtId="164" fontId="57" fillId="25" borderId="3" xfId="0" applyNumberFormat="1" applyFont="1" applyFill="1" applyBorder="1" applyAlignment="1">
      <alignment horizontal="left" vertical="center" wrapText="1"/>
    </xf>
    <xf numFmtId="164" fontId="57" fillId="25" borderId="5" xfId="0" applyNumberFormat="1" applyFont="1" applyFill="1" applyBorder="1" applyAlignment="1">
      <alignment horizontal="left" vertical="center" wrapText="1"/>
    </xf>
    <xf numFmtId="164" fontId="57" fillId="25" borderId="4" xfId="0" applyNumberFormat="1" applyFont="1" applyFill="1" applyBorder="1" applyAlignment="1">
      <alignment horizontal="left" vertical="center" wrapText="1"/>
    </xf>
    <xf numFmtId="0" fontId="51" fillId="2" borderId="0" xfId="0" applyFont="1" applyFill="1" applyAlignment="1">
      <alignment horizontal="center" vertical="center" wrapText="1"/>
    </xf>
    <xf numFmtId="0" fontId="52" fillId="2" borderId="0" xfId="0" applyFont="1" applyFill="1" applyAlignment="1">
      <alignment horizontal="center" vertical="center" shrinkToFit="1"/>
    </xf>
    <xf numFmtId="0" fontId="59" fillId="0" borderId="0" xfId="1" applyFont="1" applyBorder="1" applyAlignment="1" applyProtection="1">
      <alignment horizontal="center" vertical="center" wrapText="1"/>
    </xf>
    <xf numFmtId="0" fontId="59" fillId="0" borderId="2" xfId="1" applyFont="1" applyBorder="1" applyAlignment="1" applyProtection="1">
      <alignment horizontal="center" vertical="center" wrapText="1"/>
    </xf>
    <xf numFmtId="0" fontId="15" fillId="9" borderId="73"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25" fillId="0" borderId="71" xfId="0" applyFont="1" applyBorder="1" applyAlignment="1">
      <alignment vertical="top" wrapText="1"/>
    </xf>
    <xf numFmtId="0" fontId="25" fillId="0" borderId="74" xfId="0" applyFont="1" applyBorder="1" applyAlignment="1">
      <alignment vertical="top" wrapText="1"/>
    </xf>
    <xf numFmtId="0" fontId="25" fillId="0" borderId="72" xfId="0" applyFont="1" applyBorder="1" applyAlignment="1">
      <alignment vertical="top" wrapText="1"/>
    </xf>
    <xf numFmtId="0" fontId="16" fillId="8" borderId="1" xfId="0" applyFont="1" applyFill="1" applyBorder="1" applyAlignment="1">
      <alignment horizontal="center" vertical="top"/>
    </xf>
    <xf numFmtId="0" fontId="16" fillId="8" borderId="1" xfId="0" applyFont="1" applyFill="1" applyBorder="1" applyAlignment="1">
      <alignment horizontal="center" vertical="top" wrapText="1"/>
    </xf>
    <xf numFmtId="0" fontId="70" fillId="11" borderId="0" xfId="0" applyFont="1" applyFill="1" applyAlignment="1" applyProtection="1">
      <alignment horizontal="center" vertical="center"/>
      <protection hidden="1"/>
    </xf>
  </cellXfs>
  <cellStyles count="2">
    <cellStyle name="Hyperlink" xfId="1" builtinId="8"/>
    <cellStyle name="Normal" xfId="0" builtinId="0"/>
  </cellStyles>
  <dxfs count="33">
    <dxf>
      <fill>
        <patternFill>
          <bgColor theme="0"/>
        </patternFill>
      </fill>
    </dxf>
    <dxf>
      <fill>
        <patternFill>
          <bgColor rgb="FFFF3300"/>
        </patternFill>
      </fill>
    </dxf>
    <dxf>
      <fill>
        <patternFill>
          <bgColor rgb="FFFFC000"/>
        </patternFill>
      </fill>
    </dxf>
    <dxf>
      <fill>
        <patternFill>
          <bgColor rgb="FF92D050"/>
        </patternFill>
      </fill>
    </dxf>
    <dxf>
      <fill>
        <patternFill>
          <bgColor theme="0"/>
        </patternFill>
      </fill>
    </dxf>
    <dxf>
      <fill>
        <patternFill>
          <bgColor rgb="FFFF3300"/>
        </patternFill>
      </fill>
    </dxf>
    <dxf>
      <fill>
        <patternFill>
          <bgColor theme="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3300"/>
        </patternFill>
      </fill>
    </dxf>
    <dxf>
      <fill>
        <patternFill>
          <bgColor rgb="FFFFC000"/>
        </patternFill>
      </fill>
    </dxf>
    <dxf>
      <fill>
        <patternFill>
          <bgColor rgb="FF92D050"/>
        </patternFill>
      </fill>
    </dxf>
    <dxf>
      <fill>
        <patternFill>
          <bgColor theme="0"/>
        </patternFill>
      </fill>
    </dxf>
    <dxf>
      <fill>
        <patternFill>
          <bgColor rgb="FFFF4F4F"/>
        </patternFill>
      </fill>
    </dxf>
    <dxf>
      <fill>
        <patternFill>
          <bgColor theme="0"/>
        </patternFill>
      </fill>
    </dxf>
    <dxf>
      <fill>
        <patternFill>
          <bgColor theme="0"/>
        </patternFill>
      </fill>
    </dxf>
    <dxf>
      <fill>
        <patternFill>
          <bgColor theme="0"/>
        </patternFill>
      </fill>
    </dxf>
    <dxf>
      <fill>
        <patternFill>
          <bgColor rgb="FFFF4F4F"/>
        </patternFill>
      </fill>
    </dxf>
    <dxf>
      <fill>
        <patternFill>
          <bgColor rgb="FFFF4F4F"/>
        </patternFill>
      </fill>
    </dxf>
    <dxf>
      <fill>
        <patternFill>
          <bgColor rgb="FFFFC000"/>
        </patternFill>
      </fill>
    </dxf>
    <dxf>
      <fill>
        <patternFill>
          <bgColor rgb="FF92D050"/>
        </patternFill>
      </fill>
    </dxf>
    <dxf>
      <fill>
        <patternFill>
          <bgColor theme="0"/>
        </patternFill>
      </fill>
    </dxf>
    <dxf>
      <fill>
        <patternFill>
          <bgColor theme="0"/>
        </patternFill>
      </fill>
    </dxf>
    <dxf>
      <fill>
        <patternFill>
          <bgColor rgb="FFFF4F4F"/>
        </patternFill>
      </fill>
    </dxf>
    <dxf>
      <fill>
        <patternFill>
          <bgColor theme="0"/>
        </patternFill>
      </fill>
    </dxf>
    <dxf>
      <fill>
        <patternFill>
          <bgColor rgb="FFFF4F4F"/>
        </patternFill>
      </fill>
    </dxf>
    <dxf>
      <fill>
        <patternFill>
          <bgColor rgb="FFFFC000"/>
        </patternFill>
      </fill>
    </dxf>
    <dxf>
      <fill>
        <patternFill>
          <bgColor theme="0"/>
        </patternFill>
      </fill>
    </dxf>
    <dxf>
      <fill>
        <patternFill>
          <bgColor rgb="FFFFC000"/>
        </patternFill>
      </fill>
    </dxf>
    <dxf>
      <fill>
        <patternFill>
          <bgColor rgb="FF92D050"/>
        </patternFill>
      </fill>
    </dxf>
    <dxf>
      <fill>
        <patternFill>
          <bgColor rgb="FF92D050"/>
        </patternFill>
      </fill>
    </dxf>
  </dxfs>
  <tableStyles count="0" defaultTableStyle="TableStyleMedium2" defaultPivotStyle="PivotStyleLight16"/>
  <colors>
    <mruColors>
      <color rgb="FFFF4F4F"/>
      <color rgb="FFFF6600"/>
      <color rgb="FFFF5050"/>
      <color rgb="FFC8C8C8"/>
      <color rgb="FF8BE1FF"/>
      <color rgb="FF001930"/>
      <color rgb="FF4472C4"/>
      <color rgb="FFC25614"/>
      <color rgb="FF8D42C6"/>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chartUserShapes" Target="../drawings/drawing2.xml"/><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charts/_rels/chart2.xml.rels><?xml version="1.0" encoding="UTF-8" standalone="yes"?>
<Relationships xmlns="http://schemas.openxmlformats.org/package/2006/relationships"><Relationship Id="rId8" Type="http://schemas.openxmlformats.org/officeDocument/2006/relationships/image" Target="../media/image18.png"/><Relationship Id="rId13" Type="http://schemas.openxmlformats.org/officeDocument/2006/relationships/chartUserShapes" Target="../drawings/drawing7.xml"/><Relationship Id="rId3" Type="http://schemas.openxmlformats.org/officeDocument/2006/relationships/image" Target="../media/image13.png"/><Relationship Id="rId7" Type="http://schemas.openxmlformats.org/officeDocument/2006/relationships/image" Target="../media/image17.png"/><Relationship Id="rId12" Type="http://schemas.openxmlformats.org/officeDocument/2006/relationships/image" Target="../media/image22.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11" Type="http://schemas.openxmlformats.org/officeDocument/2006/relationships/image" Target="../media/image21.png"/><Relationship Id="rId5" Type="http://schemas.openxmlformats.org/officeDocument/2006/relationships/image" Target="../media/image15.png"/><Relationship Id="rId10" Type="http://schemas.openxmlformats.org/officeDocument/2006/relationships/image" Target="../media/image20.png"/><Relationship Id="rId4" Type="http://schemas.openxmlformats.org/officeDocument/2006/relationships/image" Target="../media/image14.png"/><Relationship Id="rId9" Type="http://schemas.openxmlformats.org/officeDocument/2006/relationships/image" Target="../media/image19.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en-US" sz="2000" b="0">
                <a:solidFill>
                  <a:schemeClr val="tx1">
                    <a:lumMod val="65000"/>
                    <a:lumOff val="35000"/>
                  </a:schemeClr>
                </a:solidFill>
                <a:latin typeface="Gotham Narrow Book" pitchFamily="50" charset="0"/>
              </a:rPr>
              <a:t>Baseline &amp; Project Modal Levels of Service</a:t>
            </a:r>
          </a:p>
        </c:rich>
      </c:tx>
      <c:layout>
        <c:manualLayout>
          <c:xMode val="edge"/>
          <c:yMode val="edge"/>
          <c:x val="0.12285236279060967"/>
          <c:y val="0"/>
        </c:manualLayout>
      </c:layout>
      <c:overlay val="0"/>
      <c:spPr>
        <a:noFill/>
        <a:ln>
          <a:noFill/>
        </a:ln>
        <a:effectLst/>
      </c:spPr>
    </c:title>
    <c:autoTitleDeleted val="0"/>
    <c:plotArea>
      <c:layout>
        <c:manualLayout>
          <c:layoutTarget val="inner"/>
          <c:xMode val="edge"/>
          <c:yMode val="edge"/>
          <c:x val="0.16703723640144127"/>
          <c:y val="0.21970751099592148"/>
          <c:w val="0.77385323895036573"/>
          <c:h val="0.60179677620151895"/>
        </c:manualLayout>
      </c:layout>
      <c:barChart>
        <c:barDir val="col"/>
        <c:grouping val="clustered"/>
        <c:varyColors val="0"/>
        <c:ser>
          <c:idx val="0"/>
          <c:order val="0"/>
          <c:tx>
            <c:strRef>
              <c:f>'ANOP Assessment v1.0'!$AG$24</c:f>
              <c:strCache>
                <c:ptCount val="1"/>
                <c:pt idx="0">
                  <c:v>Baseline LOS Score</c:v>
                </c:pt>
              </c:strCache>
            </c:strRef>
          </c:tx>
          <c:spPr>
            <a:solidFill>
              <a:schemeClr val="accent1"/>
            </a:solidFill>
            <a:ln>
              <a:solidFill>
                <a:schemeClr val="bg1">
                  <a:lumMod val="75000"/>
                </a:schemeClr>
              </a:solidFill>
            </a:ln>
            <a:effectLst/>
          </c:spPr>
          <c:invertIfNegative val="0"/>
          <c:dPt>
            <c:idx val="0"/>
            <c:invertIfNegative val="0"/>
            <c:bubble3D val="0"/>
            <c:spPr>
              <a:solidFill>
                <a:srgbClr val="F1544F">
                  <a:alpha val="60000"/>
                </a:srgbClr>
              </a:solidFill>
              <a:ln>
                <a:solidFill>
                  <a:schemeClr val="bg1">
                    <a:lumMod val="75000"/>
                  </a:schemeClr>
                </a:solidFill>
              </a:ln>
              <a:effectLst/>
            </c:spPr>
            <c:extLst>
              <c:ext xmlns:c16="http://schemas.microsoft.com/office/drawing/2014/chart" uri="{C3380CC4-5D6E-409C-BE32-E72D297353CC}">
                <c16:uniqueId val="{00000001-DF1C-429E-B5FD-5092B4EAAE8E}"/>
              </c:ext>
            </c:extLst>
          </c:dPt>
          <c:dPt>
            <c:idx val="1"/>
            <c:invertIfNegative val="0"/>
            <c:bubble3D val="0"/>
            <c:spPr>
              <a:solidFill>
                <a:schemeClr val="accent6">
                  <a:lumMod val="75000"/>
                  <a:alpha val="67000"/>
                </a:schemeClr>
              </a:solidFill>
              <a:ln>
                <a:solidFill>
                  <a:schemeClr val="bg1">
                    <a:lumMod val="75000"/>
                  </a:schemeClr>
                </a:solidFill>
              </a:ln>
              <a:effectLst/>
            </c:spPr>
            <c:extLst>
              <c:ext xmlns:c16="http://schemas.microsoft.com/office/drawing/2014/chart" uri="{C3380CC4-5D6E-409C-BE32-E72D297353CC}">
                <c16:uniqueId val="{00000003-DF1C-429E-B5FD-5092B4EAAE8E}"/>
              </c:ext>
            </c:extLst>
          </c:dPt>
          <c:dPt>
            <c:idx val="2"/>
            <c:invertIfNegative val="0"/>
            <c:bubble3D val="0"/>
            <c:spPr>
              <a:solidFill>
                <a:schemeClr val="accent1">
                  <a:alpha val="61000"/>
                </a:schemeClr>
              </a:solidFill>
              <a:ln>
                <a:solidFill>
                  <a:schemeClr val="bg1">
                    <a:lumMod val="75000"/>
                  </a:schemeClr>
                </a:solidFill>
              </a:ln>
              <a:effectLst/>
            </c:spPr>
            <c:extLst>
              <c:ext xmlns:c16="http://schemas.microsoft.com/office/drawing/2014/chart" uri="{C3380CC4-5D6E-409C-BE32-E72D297353CC}">
                <c16:uniqueId val="{00000005-DF1C-429E-B5FD-5092B4EAAE8E}"/>
              </c:ext>
            </c:extLst>
          </c:dPt>
          <c:dPt>
            <c:idx val="3"/>
            <c:invertIfNegative val="0"/>
            <c:bubble3D val="0"/>
            <c:spPr>
              <a:solidFill>
                <a:srgbClr val="C25614">
                  <a:alpha val="49804"/>
                </a:srgbClr>
              </a:solidFill>
              <a:ln>
                <a:solidFill>
                  <a:schemeClr val="bg1">
                    <a:lumMod val="75000"/>
                  </a:schemeClr>
                </a:solidFill>
              </a:ln>
              <a:effectLst/>
            </c:spPr>
            <c:extLst>
              <c:ext xmlns:c16="http://schemas.microsoft.com/office/drawing/2014/chart" uri="{C3380CC4-5D6E-409C-BE32-E72D297353CC}">
                <c16:uniqueId val="{00000007-DF1C-429E-B5FD-5092B4EAAE8E}"/>
              </c:ext>
            </c:extLst>
          </c:dPt>
          <c:dPt>
            <c:idx val="4"/>
            <c:invertIfNegative val="0"/>
            <c:bubble3D val="0"/>
            <c:spPr>
              <a:solidFill>
                <a:srgbClr val="8D42C6">
                  <a:alpha val="66667"/>
                </a:srgbClr>
              </a:solidFill>
              <a:ln>
                <a:solidFill>
                  <a:schemeClr val="bg1">
                    <a:lumMod val="75000"/>
                  </a:schemeClr>
                </a:solidFill>
              </a:ln>
              <a:effectLst/>
            </c:spPr>
            <c:extLst>
              <c:ext xmlns:c16="http://schemas.microsoft.com/office/drawing/2014/chart" uri="{C3380CC4-5D6E-409C-BE32-E72D297353CC}">
                <c16:uniqueId val="{00000009-DF1C-429E-B5FD-5092B4EAAE8E}"/>
              </c:ext>
            </c:extLst>
          </c:dPt>
          <c:errBars>
            <c:errBarType val="both"/>
            <c:errValType val="cust"/>
            <c:noEndCap val="1"/>
            <c:plus>
              <c:numRef>
                <c:f>'ANOP Assessment v1.0'!$AX$35:$AX$41</c:f>
                <c:numCache>
                  <c:formatCode>General</c:formatCode>
                  <c:ptCount val="7"/>
                  <c:pt idx="0">
                    <c:v>0</c:v>
                  </c:pt>
                  <c:pt idx="1">
                    <c:v>0</c:v>
                  </c:pt>
                  <c:pt idx="2">
                    <c:v>0</c:v>
                  </c:pt>
                  <c:pt idx="3">
                    <c:v>0</c:v>
                  </c:pt>
                  <c:pt idx="4">
                    <c:v>0</c:v>
                  </c:pt>
                  <c:pt idx="5">
                    <c:v>0</c:v>
                  </c:pt>
                  <c:pt idx="6">
                    <c:v>0</c:v>
                  </c:pt>
                </c:numCache>
              </c:numRef>
            </c:plus>
            <c:minus>
              <c:numRef>
                <c:f>'ANOP Assessment v1.0'!$AW$35:$AW$41</c:f>
                <c:numCache>
                  <c:formatCode>General</c:formatCode>
                  <c:ptCount val="7"/>
                  <c:pt idx="0">
                    <c:v>0</c:v>
                  </c:pt>
                  <c:pt idx="1">
                    <c:v>0</c:v>
                  </c:pt>
                  <c:pt idx="2">
                    <c:v>0</c:v>
                  </c:pt>
                  <c:pt idx="3">
                    <c:v>0</c:v>
                  </c:pt>
                  <c:pt idx="4">
                    <c:v>0</c:v>
                  </c:pt>
                  <c:pt idx="5">
                    <c:v>0</c:v>
                  </c:pt>
                  <c:pt idx="6">
                    <c:v>0</c:v>
                  </c:pt>
                </c:numCache>
              </c:numRef>
            </c:minus>
            <c:spPr>
              <a:noFill/>
              <a:ln w="60325" cap="flat" cmpd="sng" algn="ctr">
                <a:solidFill>
                  <a:schemeClr val="tx1">
                    <a:lumMod val="65000"/>
                    <a:lumOff val="35000"/>
                  </a:schemeClr>
                </a:solidFill>
                <a:prstDash val="solid"/>
                <a:round/>
                <a:headEnd type="none"/>
                <a:tailEnd type="arrow" w="med" len="med"/>
              </a:ln>
              <a:effectLst>
                <a:outerShdw blurRad="50800" dist="38100" dir="2700000" algn="tl" rotWithShape="0">
                  <a:prstClr val="black">
                    <a:alpha val="40000"/>
                  </a:prstClr>
                </a:outerShdw>
              </a:effectLst>
            </c:spPr>
          </c:errBars>
          <c:cat>
            <c:strRef>
              <c:f>'ANOP Assessment v1.0'!$AC$15:$AC$19</c:f>
              <c:strCache>
                <c:ptCount val="5"/>
                <c:pt idx="0">
                  <c:v>Walk</c:v>
                </c:pt>
                <c:pt idx="1">
                  <c:v>Cycle</c:v>
                </c:pt>
                <c:pt idx="2">
                  <c:v>PT</c:v>
                </c:pt>
                <c:pt idx="3">
                  <c:v>Freight</c:v>
                </c:pt>
                <c:pt idx="4">
                  <c:v>Gnrl Trfc</c:v>
                </c:pt>
              </c:strCache>
            </c:strRef>
          </c:cat>
          <c:val>
            <c:numRef>
              <c:f>'ANOP Assessment v1.0'!$AG$25:$AG$29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E-DF1C-429E-B5FD-5092B4EAAE8E}"/>
            </c:ext>
          </c:extLst>
        </c:ser>
        <c:dLbls>
          <c:showLegendKey val="0"/>
          <c:showVal val="0"/>
          <c:showCatName val="0"/>
          <c:showSerName val="0"/>
          <c:showPercent val="0"/>
          <c:showBubbleSize val="0"/>
        </c:dLbls>
        <c:gapWidth val="0"/>
        <c:overlap val="-25"/>
        <c:axId val="1910663984"/>
        <c:axId val="1910664400"/>
      </c:barChart>
      <c:lineChart>
        <c:grouping val="standard"/>
        <c:varyColors val="0"/>
        <c:ser>
          <c:idx val="2"/>
          <c:order val="1"/>
          <c:tx>
            <c:strRef>
              <c:f>'ANOP Assessment v1.0'!$AM$24</c:f>
              <c:strCache>
                <c:ptCount val="1"/>
                <c:pt idx="0">
                  <c:v>Project LOS Score</c:v>
                </c:pt>
              </c:strCache>
            </c:strRef>
          </c:tx>
          <c:spPr>
            <a:ln w="28575" cap="rnd">
              <a:noFill/>
              <a:round/>
            </a:ln>
            <a:effectLst/>
          </c:spPr>
          <c:marker>
            <c:symbol val="picture"/>
            <c:spPr>
              <a:blipFill>
                <a:blip xmlns:r="http://schemas.openxmlformats.org/officeDocument/2006/relationships" r:embed="rId1"/>
                <a:stretch>
                  <a:fillRect/>
                </a:stretch>
              </a:blipFill>
              <a:ln w="9525">
                <a:noFill/>
              </a:ln>
              <a:effectLst/>
            </c:spPr>
          </c:marker>
          <c:cat>
            <c:strRef>
              <c:f>'ANOP Assessment v1.0'!$AC$15:$AC$21</c:f>
              <c:strCache>
                <c:ptCount val="5"/>
                <c:pt idx="0">
                  <c:v>Walk</c:v>
                </c:pt>
                <c:pt idx="1">
                  <c:v>Cycle</c:v>
                </c:pt>
                <c:pt idx="2">
                  <c:v>PT</c:v>
                </c:pt>
                <c:pt idx="3">
                  <c:v>Freight</c:v>
                </c:pt>
                <c:pt idx="4">
                  <c:v>Gnrl Trfc</c:v>
                </c:pt>
              </c:strCache>
            </c:strRef>
          </c:cat>
          <c:val>
            <c:numRef>
              <c:f>'ANOP Assessment v1.0'!$AM$25:$AM$29</c:f>
              <c:numCache>
                <c:formatCode>General</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19-71FD-4D89-9DE9-0F63C8A909A5}"/>
            </c:ext>
          </c:extLst>
        </c:ser>
        <c:ser>
          <c:idx val="3"/>
          <c:order val="2"/>
          <c:tx>
            <c:strRef>
              <c:f>'ANOP Assessment v1.0'!$AL$24</c:f>
              <c:strCache>
                <c:ptCount val="1"/>
                <c:pt idx="0">
                  <c:v>Acceptable LOS lower range score</c:v>
                </c:pt>
              </c:strCache>
            </c:strRef>
          </c:tx>
          <c:spPr>
            <a:ln w="25400" cap="rnd" cmpd="dbl">
              <a:noFill/>
              <a:prstDash val="sysDot"/>
              <a:round/>
            </a:ln>
            <a:effectLst/>
          </c:spPr>
          <c:marker>
            <c:symbol val="circle"/>
            <c:size val="5"/>
            <c:spPr>
              <a:solidFill>
                <a:schemeClr val="accent4"/>
              </a:solidFill>
              <a:ln w="9525">
                <a:solidFill>
                  <a:schemeClr val="accent4"/>
                </a:solidFill>
              </a:ln>
              <a:effectLst/>
            </c:spPr>
          </c:marker>
          <c:dPt>
            <c:idx val="0"/>
            <c:marker>
              <c:symbol val="picture"/>
              <c:spPr>
                <a:blipFill>
                  <a:blip xmlns:r="http://schemas.openxmlformats.org/officeDocument/2006/relationships" r:embed="rId2"/>
                  <a:stretch>
                    <a:fillRect/>
                  </a:stretch>
                </a:blipFill>
                <a:ln w="9525">
                  <a:noFill/>
                </a:ln>
                <a:effectLst/>
              </c:spPr>
            </c:marker>
            <c:bubble3D val="0"/>
            <c:extLst>
              <c:ext xmlns:c16="http://schemas.microsoft.com/office/drawing/2014/chart" uri="{C3380CC4-5D6E-409C-BE32-E72D297353CC}">
                <c16:uniqueId val="{00000019-FBFC-4EC8-8A2C-09508DE1AC25}"/>
              </c:ext>
            </c:extLst>
          </c:dPt>
          <c:dPt>
            <c:idx val="1"/>
            <c:marker>
              <c:symbol val="picture"/>
              <c:spPr>
                <a:blipFill>
                  <a:blip xmlns:r="http://schemas.openxmlformats.org/officeDocument/2006/relationships" r:embed="rId3"/>
                  <a:stretch>
                    <a:fillRect/>
                  </a:stretch>
                </a:blipFill>
                <a:ln w="9525">
                  <a:noFill/>
                </a:ln>
                <a:effectLst/>
              </c:spPr>
            </c:marker>
            <c:bubble3D val="0"/>
            <c:extLst>
              <c:ext xmlns:c16="http://schemas.microsoft.com/office/drawing/2014/chart" uri="{C3380CC4-5D6E-409C-BE32-E72D297353CC}">
                <c16:uniqueId val="{00000018-FBFC-4EC8-8A2C-09508DE1AC25}"/>
              </c:ext>
            </c:extLst>
          </c:dPt>
          <c:dPt>
            <c:idx val="2"/>
            <c:marker>
              <c:symbol val="picture"/>
              <c:spPr>
                <a:blipFill>
                  <a:blip xmlns:r="http://schemas.openxmlformats.org/officeDocument/2006/relationships" r:embed="rId4"/>
                  <a:stretch>
                    <a:fillRect/>
                  </a:stretch>
                </a:blipFill>
                <a:ln w="9525">
                  <a:noFill/>
                </a:ln>
                <a:effectLst/>
              </c:spPr>
            </c:marker>
            <c:bubble3D val="0"/>
            <c:extLst>
              <c:ext xmlns:c16="http://schemas.microsoft.com/office/drawing/2014/chart" uri="{C3380CC4-5D6E-409C-BE32-E72D297353CC}">
                <c16:uniqueId val="{00000017-FBFC-4EC8-8A2C-09508DE1AC25}"/>
              </c:ext>
            </c:extLst>
          </c:dPt>
          <c:dPt>
            <c:idx val="3"/>
            <c:marker>
              <c:symbol val="picture"/>
              <c:spPr>
                <a:blipFill>
                  <a:blip xmlns:r="http://schemas.openxmlformats.org/officeDocument/2006/relationships" r:embed="rId5"/>
                  <a:stretch>
                    <a:fillRect/>
                  </a:stretch>
                </a:blipFill>
                <a:ln w="9525">
                  <a:noFill/>
                </a:ln>
                <a:effectLst/>
              </c:spPr>
            </c:marker>
            <c:bubble3D val="0"/>
            <c:extLst>
              <c:ext xmlns:c16="http://schemas.microsoft.com/office/drawing/2014/chart" uri="{C3380CC4-5D6E-409C-BE32-E72D297353CC}">
                <c16:uniqueId val="{00000016-FBFC-4EC8-8A2C-09508DE1AC25}"/>
              </c:ext>
            </c:extLst>
          </c:dPt>
          <c:dPt>
            <c:idx val="4"/>
            <c:marker>
              <c:symbol val="picture"/>
              <c:spPr>
                <a:blipFill>
                  <a:blip xmlns:r="http://schemas.openxmlformats.org/officeDocument/2006/relationships" r:embed="rId6"/>
                  <a:stretch>
                    <a:fillRect/>
                  </a:stretch>
                </a:blipFill>
                <a:ln w="9525">
                  <a:noFill/>
                </a:ln>
                <a:effectLst/>
              </c:spPr>
            </c:marker>
            <c:bubble3D val="0"/>
            <c:extLst>
              <c:ext xmlns:c16="http://schemas.microsoft.com/office/drawing/2014/chart" uri="{C3380CC4-5D6E-409C-BE32-E72D297353CC}">
                <c16:uniqueId val="{00000015-FBFC-4EC8-8A2C-09508DE1AC25}"/>
              </c:ext>
            </c:extLst>
          </c:dPt>
          <c:cat>
            <c:strRef>
              <c:f>'ANOP Assessment v1.0'!$AC$15:$AC$21</c:f>
              <c:strCache>
                <c:ptCount val="5"/>
                <c:pt idx="0">
                  <c:v>Walk</c:v>
                </c:pt>
                <c:pt idx="1">
                  <c:v>Cycle</c:v>
                </c:pt>
                <c:pt idx="2">
                  <c:v>PT</c:v>
                </c:pt>
                <c:pt idx="3">
                  <c:v>Freight</c:v>
                </c:pt>
                <c:pt idx="4">
                  <c:v>Gnrl Trfc</c:v>
                </c:pt>
              </c:strCache>
            </c:strRef>
          </c:cat>
          <c:val>
            <c:numRef>
              <c:f>'ANOP Assessment v1.0'!$AL$25:$AL$29</c:f>
              <c:numCache>
                <c:formatCode>General</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14-FBFC-4EC8-8A2C-09508DE1AC25}"/>
            </c:ext>
          </c:extLst>
        </c:ser>
        <c:ser>
          <c:idx val="1"/>
          <c:order val="3"/>
          <c:tx>
            <c:strRef>
              <c:f>'ANOP Assessment v1.0'!$AD$24</c:f>
              <c:strCache>
                <c:ptCount val="1"/>
                <c:pt idx="0">
                  <c:v>ANOP Preferred LOS (base)</c:v>
                </c:pt>
              </c:strCache>
            </c:strRef>
          </c:tx>
          <c:spPr>
            <a:ln w="50800" cap="rnd" cmpd="sng">
              <a:noFill/>
              <a:prstDash val="sysDot"/>
              <a:round/>
            </a:ln>
            <a:effectLst/>
          </c:spPr>
          <c:marker>
            <c:symbol val="picture"/>
            <c:spPr>
              <a:blipFill>
                <a:blip xmlns:r="http://schemas.openxmlformats.org/officeDocument/2006/relationships" r:embed="rId7"/>
                <a:stretch>
                  <a:fillRect/>
                </a:stretch>
              </a:blipFill>
              <a:ln w="9525">
                <a:noFill/>
              </a:ln>
              <a:effectLst/>
            </c:spPr>
          </c:marker>
          <c:dPt>
            <c:idx val="0"/>
            <c:marker>
              <c:spPr>
                <a:blipFill>
                  <a:blip xmlns:r="http://schemas.openxmlformats.org/officeDocument/2006/relationships" r:embed="rId8"/>
                  <a:stretch>
                    <a:fillRect/>
                  </a:stretch>
                </a:blipFill>
                <a:ln w="9525">
                  <a:noFill/>
                </a:ln>
                <a:effectLst/>
              </c:spPr>
            </c:marker>
            <c:bubble3D val="0"/>
            <c:extLst>
              <c:ext xmlns:c16="http://schemas.microsoft.com/office/drawing/2014/chart" uri="{C3380CC4-5D6E-409C-BE32-E72D297353CC}">
                <c16:uniqueId val="{00000011-DF1C-429E-B5FD-5092B4EAAE8E}"/>
              </c:ext>
            </c:extLst>
          </c:dPt>
          <c:dPt>
            <c:idx val="1"/>
            <c:marker>
              <c:spPr>
                <a:blipFill>
                  <a:blip xmlns:r="http://schemas.openxmlformats.org/officeDocument/2006/relationships" r:embed="rId9"/>
                  <a:stretch>
                    <a:fillRect/>
                  </a:stretch>
                </a:blipFill>
                <a:ln w="9525">
                  <a:noFill/>
                </a:ln>
                <a:effectLst/>
              </c:spPr>
            </c:marker>
            <c:bubble3D val="0"/>
            <c:extLst>
              <c:ext xmlns:c16="http://schemas.microsoft.com/office/drawing/2014/chart" uri="{C3380CC4-5D6E-409C-BE32-E72D297353CC}">
                <c16:uniqueId val="{0000001C-D583-4DD9-9A52-D18853775F18}"/>
              </c:ext>
            </c:extLst>
          </c:dPt>
          <c:dPt>
            <c:idx val="2"/>
            <c:marker>
              <c:spPr>
                <a:blipFill>
                  <a:blip xmlns:r="http://schemas.openxmlformats.org/officeDocument/2006/relationships" r:embed="rId10"/>
                  <a:stretch>
                    <a:fillRect/>
                  </a:stretch>
                </a:blipFill>
                <a:ln w="9525">
                  <a:noFill/>
                </a:ln>
                <a:effectLst/>
              </c:spPr>
            </c:marker>
            <c:bubble3D val="0"/>
            <c:extLst>
              <c:ext xmlns:c16="http://schemas.microsoft.com/office/drawing/2014/chart" uri="{C3380CC4-5D6E-409C-BE32-E72D297353CC}">
                <c16:uniqueId val="{00000013-6364-4F4D-8E25-770E89BC500A}"/>
              </c:ext>
            </c:extLst>
          </c:dPt>
          <c:dPt>
            <c:idx val="3"/>
            <c:marker>
              <c:spPr>
                <a:blipFill>
                  <a:blip xmlns:r="http://schemas.openxmlformats.org/officeDocument/2006/relationships" r:embed="rId11"/>
                  <a:stretch>
                    <a:fillRect/>
                  </a:stretch>
                </a:blipFill>
                <a:ln w="9525">
                  <a:noFill/>
                </a:ln>
                <a:effectLst/>
              </c:spPr>
            </c:marker>
            <c:bubble3D val="0"/>
            <c:extLst>
              <c:ext xmlns:c16="http://schemas.microsoft.com/office/drawing/2014/chart" uri="{C3380CC4-5D6E-409C-BE32-E72D297353CC}">
                <c16:uniqueId val="{00000013-DF1C-429E-B5FD-5092B4EAAE8E}"/>
              </c:ext>
            </c:extLst>
          </c:dPt>
          <c:dPt>
            <c:idx val="4"/>
            <c:marker>
              <c:spPr>
                <a:blipFill>
                  <a:blip xmlns:r="http://schemas.openxmlformats.org/officeDocument/2006/relationships" r:embed="rId12"/>
                  <a:stretch>
                    <a:fillRect/>
                  </a:stretch>
                </a:blipFill>
                <a:ln w="9525">
                  <a:noFill/>
                </a:ln>
                <a:effectLst/>
              </c:spPr>
            </c:marker>
            <c:bubble3D val="0"/>
            <c:extLst>
              <c:ext xmlns:c16="http://schemas.microsoft.com/office/drawing/2014/chart" uri="{C3380CC4-5D6E-409C-BE32-E72D297353CC}">
                <c16:uniqueId val="{00000014-DF1C-429E-B5FD-5092B4EAAE8E}"/>
              </c:ext>
            </c:extLst>
          </c:dPt>
          <c:cat>
            <c:strRef>
              <c:f>'ANOP Assessment v1.0'!$AC$15:$AC$19</c:f>
              <c:strCache>
                <c:ptCount val="5"/>
                <c:pt idx="0">
                  <c:v>Walk</c:v>
                </c:pt>
                <c:pt idx="1">
                  <c:v>Cycle</c:v>
                </c:pt>
                <c:pt idx="2">
                  <c:v>PT</c:v>
                </c:pt>
                <c:pt idx="3">
                  <c:v>Freight</c:v>
                </c:pt>
                <c:pt idx="4">
                  <c:v>Gnrl Trfc</c:v>
                </c:pt>
              </c:strCache>
            </c:strRef>
          </c:cat>
          <c:val>
            <c:numRef>
              <c:f>'ANOP Assessment v1.0'!$AK$25:$AK$29</c:f>
              <c:numCache>
                <c:formatCode>General</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10-DF1C-429E-B5FD-5092B4EAAE8E}"/>
            </c:ext>
          </c:extLst>
        </c:ser>
        <c:dLbls>
          <c:showLegendKey val="0"/>
          <c:showVal val="0"/>
          <c:showCatName val="0"/>
          <c:showSerName val="0"/>
          <c:showPercent val="0"/>
          <c:showBubbleSize val="0"/>
        </c:dLbls>
        <c:marker val="1"/>
        <c:smooth val="0"/>
        <c:axId val="790436240"/>
        <c:axId val="790447472"/>
      </c:lineChart>
      <c:catAx>
        <c:axId val="191066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bg1"/>
                </a:solidFill>
                <a:latin typeface="+mn-lt"/>
                <a:ea typeface="+mn-ea"/>
                <a:cs typeface="+mn-cs"/>
              </a:defRPr>
            </a:pPr>
            <a:endParaRPr lang="en-US"/>
          </a:p>
        </c:txPr>
        <c:crossAx val="1910664400"/>
        <c:crosses val="autoZero"/>
        <c:auto val="1"/>
        <c:lblAlgn val="ctr"/>
        <c:lblOffset val="100"/>
        <c:noMultiLvlLbl val="0"/>
      </c:catAx>
      <c:valAx>
        <c:axId val="1910664400"/>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10663984"/>
        <c:crosses val="autoZero"/>
        <c:crossBetween val="between"/>
      </c:valAx>
      <c:valAx>
        <c:axId val="790447472"/>
        <c:scaling>
          <c:orientation val="minMax"/>
          <c:max val="7"/>
        </c:scaling>
        <c:delete val="1"/>
        <c:axPos val="r"/>
        <c:numFmt formatCode="General" sourceLinked="1"/>
        <c:majorTickMark val="out"/>
        <c:minorTickMark val="none"/>
        <c:tickLblPos val="nextTo"/>
        <c:crossAx val="790436240"/>
        <c:crosses val="max"/>
        <c:crossBetween val="between"/>
      </c:valAx>
      <c:catAx>
        <c:axId val="790436240"/>
        <c:scaling>
          <c:orientation val="minMax"/>
        </c:scaling>
        <c:delete val="1"/>
        <c:axPos val="b"/>
        <c:numFmt formatCode="General" sourceLinked="1"/>
        <c:majorTickMark val="out"/>
        <c:minorTickMark val="none"/>
        <c:tickLblPos val="nextTo"/>
        <c:crossAx val="790447472"/>
        <c:crosses val="autoZero"/>
        <c:auto val="1"/>
        <c:lblAlgn val="ctr"/>
        <c:lblOffset val="100"/>
        <c:noMultiLvlLbl val="0"/>
      </c:catAx>
      <c:spPr>
        <a:solidFill>
          <a:schemeClr val="bg1"/>
        </a:solidFill>
        <a:ln>
          <a:solidFill>
            <a:schemeClr val="bg1">
              <a:lumMod val="75000"/>
            </a:schemeClr>
          </a:solidFill>
          <a:round/>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C8C8C8"/>
      </a:solidFill>
      <a:round/>
    </a:ln>
    <a:effectLst/>
  </c:spPr>
  <c:txPr>
    <a:bodyPr/>
    <a:lstStyle/>
    <a:p>
      <a:pPr>
        <a:defRPr/>
      </a:pPr>
      <a:endParaRPr lang="en-US"/>
    </a:p>
  </c:txPr>
  <c:printSettings>
    <c:headerFooter/>
    <c:pageMargins b="0.75" l="0.7" r="0.7" t="0.75" header="0.3" footer="0.3"/>
    <c:pageSetup/>
  </c:printSettings>
  <c:userShapes r:id="rId1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lumMod val="50000"/>
                  </a:schemeClr>
                </a:solidFill>
                <a:latin typeface="+mn-lt"/>
                <a:ea typeface="+mn-ea"/>
                <a:cs typeface="+mn-cs"/>
              </a:defRPr>
            </a:pPr>
            <a:r>
              <a:rPr lang="en-US" sz="2000" b="0">
                <a:solidFill>
                  <a:schemeClr val="tx1">
                    <a:lumMod val="65000"/>
                    <a:lumOff val="35000"/>
                  </a:schemeClr>
                </a:solidFill>
                <a:latin typeface="Gotham Narrow Book" pitchFamily="50" charset="0"/>
              </a:rPr>
              <a:t>Baseline &amp; Project Modal Levels of Service</a:t>
            </a:r>
          </a:p>
        </c:rich>
      </c:tx>
      <c:layout>
        <c:manualLayout>
          <c:xMode val="edge"/>
          <c:yMode val="edge"/>
          <c:x val="0.12285236279060967"/>
          <c:y val="0"/>
        </c:manualLayout>
      </c:layout>
      <c:overlay val="0"/>
      <c:spPr>
        <a:noFill/>
        <a:ln>
          <a:noFill/>
        </a:ln>
        <a:effectLst/>
      </c:spPr>
    </c:title>
    <c:autoTitleDeleted val="0"/>
    <c:plotArea>
      <c:layout>
        <c:manualLayout>
          <c:layoutTarget val="inner"/>
          <c:xMode val="edge"/>
          <c:yMode val="edge"/>
          <c:x val="0.16703723640144127"/>
          <c:y val="0.21970751099592148"/>
          <c:w val="0.77385323895036573"/>
          <c:h val="0.60179677620151895"/>
        </c:manualLayout>
      </c:layout>
      <c:barChart>
        <c:barDir val="col"/>
        <c:grouping val="clustered"/>
        <c:varyColors val="0"/>
        <c:ser>
          <c:idx val="0"/>
          <c:order val="0"/>
          <c:tx>
            <c:strRef>
              <c:f>'Example assessment'!$AG$24</c:f>
              <c:strCache>
                <c:ptCount val="1"/>
                <c:pt idx="0">
                  <c:v>Baseline LOS Score</c:v>
                </c:pt>
              </c:strCache>
            </c:strRef>
          </c:tx>
          <c:spPr>
            <a:solidFill>
              <a:schemeClr val="accent1"/>
            </a:solidFill>
            <a:ln>
              <a:solidFill>
                <a:schemeClr val="bg1">
                  <a:lumMod val="75000"/>
                </a:schemeClr>
              </a:solidFill>
            </a:ln>
            <a:effectLst/>
          </c:spPr>
          <c:invertIfNegative val="0"/>
          <c:dPt>
            <c:idx val="0"/>
            <c:invertIfNegative val="0"/>
            <c:bubble3D val="0"/>
            <c:spPr>
              <a:solidFill>
                <a:srgbClr val="F1544F">
                  <a:alpha val="60000"/>
                </a:srgbClr>
              </a:solidFill>
              <a:ln>
                <a:solidFill>
                  <a:schemeClr val="bg1">
                    <a:lumMod val="75000"/>
                  </a:schemeClr>
                </a:solidFill>
              </a:ln>
              <a:effectLst/>
            </c:spPr>
            <c:extLst>
              <c:ext xmlns:c16="http://schemas.microsoft.com/office/drawing/2014/chart" uri="{C3380CC4-5D6E-409C-BE32-E72D297353CC}">
                <c16:uniqueId val="{00000001-0397-4D1D-B1CD-CFB4443E699F}"/>
              </c:ext>
            </c:extLst>
          </c:dPt>
          <c:dPt>
            <c:idx val="1"/>
            <c:invertIfNegative val="0"/>
            <c:bubble3D val="0"/>
            <c:spPr>
              <a:solidFill>
                <a:schemeClr val="accent6">
                  <a:lumMod val="75000"/>
                  <a:alpha val="67000"/>
                </a:schemeClr>
              </a:solidFill>
              <a:ln>
                <a:solidFill>
                  <a:schemeClr val="bg1">
                    <a:lumMod val="75000"/>
                  </a:schemeClr>
                </a:solidFill>
              </a:ln>
              <a:effectLst/>
            </c:spPr>
            <c:extLst>
              <c:ext xmlns:c16="http://schemas.microsoft.com/office/drawing/2014/chart" uri="{C3380CC4-5D6E-409C-BE32-E72D297353CC}">
                <c16:uniqueId val="{00000003-0397-4D1D-B1CD-CFB4443E699F}"/>
              </c:ext>
            </c:extLst>
          </c:dPt>
          <c:dPt>
            <c:idx val="2"/>
            <c:invertIfNegative val="0"/>
            <c:bubble3D val="0"/>
            <c:spPr>
              <a:solidFill>
                <a:schemeClr val="accent1">
                  <a:alpha val="61000"/>
                </a:schemeClr>
              </a:solidFill>
              <a:ln>
                <a:solidFill>
                  <a:schemeClr val="bg1">
                    <a:lumMod val="75000"/>
                  </a:schemeClr>
                </a:solidFill>
              </a:ln>
              <a:effectLst/>
            </c:spPr>
            <c:extLst>
              <c:ext xmlns:c16="http://schemas.microsoft.com/office/drawing/2014/chart" uri="{C3380CC4-5D6E-409C-BE32-E72D297353CC}">
                <c16:uniqueId val="{00000005-0397-4D1D-B1CD-CFB4443E699F}"/>
              </c:ext>
            </c:extLst>
          </c:dPt>
          <c:dPt>
            <c:idx val="3"/>
            <c:invertIfNegative val="0"/>
            <c:bubble3D val="0"/>
            <c:spPr>
              <a:solidFill>
                <a:srgbClr val="C25614">
                  <a:alpha val="49804"/>
                </a:srgbClr>
              </a:solidFill>
              <a:ln>
                <a:solidFill>
                  <a:schemeClr val="bg1">
                    <a:lumMod val="75000"/>
                  </a:schemeClr>
                </a:solidFill>
              </a:ln>
              <a:effectLst/>
            </c:spPr>
            <c:extLst>
              <c:ext xmlns:c16="http://schemas.microsoft.com/office/drawing/2014/chart" uri="{C3380CC4-5D6E-409C-BE32-E72D297353CC}">
                <c16:uniqueId val="{00000007-0397-4D1D-B1CD-CFB4443E699F}"/>
              </c:ext>
            </c:extLst>
          </c:dPt>
          <c:dPt>
            <c:idx val="4"/>
            <c:invertIfNegative val="0"/>
            <c:bubble3D val="0"/>
            <c:spPr>
              <a:solidFill>
                <a:srgbClr val="8D42C6">
                  <a:alpha val="66667"/>
                </a:srgbClr>
              </a:solidFill>
              <a:ln>
                <a:solidFill>
                  <a:schemeClr val="bg1">
                    <a:lumMod val="75000"/>
                  </a:schemeClr>
                </a:solidFill>
              </a:ln>
              <a:effectLst/>
            </c:spPr>
            <c:extLst>
              <c:ext xmlns:c16="http://schemas.microsoft.com/office/drawing/2014/chart" uri="{C3380CC4-5D6E-409C-BE32-E72D297353CC}">
                <c16:uniqueId val="{00000009-0397-4D1D-B1CD-CFB4443E699F}"/>
              </c:ext>
            </c:extLst>
          </c:dPt>
          <c:errBars>
            <c:errBarType val="both"/>
            <c:errValType val="cust"/>
            <c:noEndCap val="1"/>
            <c:plus>
              <c:numRef>
                <c:f>'Example assessment'!$AU$35:$AU$41</c:f>
                <c:numCache>
                  <c:formatCode>General</c:formatCode>
                  <c:ptCount val="7"/>
                  <c:pt idx="0">
                    <c:v>1</c:v>
                  </c:pt>
                  <c:pt idx="1">
                    <c:v>0</c:v>
                  </c:pt>
                  <c:pt idx="2">
                    <c:v>1</c:v>
                  </c:pt>
                  <c:pt idx="3">
                    <c:v>0</c:v>
                  </c:pt>
                  <c:pt idx="4">
                    <c:v>0</c:v>
                  </c:pt>
                  <c:pt idx="5">
                    <c:v>0</c:v>
                  </c:pt>
                  <c:pt idx="6">
                    <c:v>0</c:v>
                  </c:pt>
                </c:numCache>
              </c:numRef>
            </c:plus>
            <c:minus>
              <c:numRef>
                <c:f>'Example assessment'!$AT$35:$AT$41</c:f>
                <c:numCache>
                  <c:formatCode>General</c:formatCode>
                  <c:ptCount val="7"/>
                  <c:pt idx="0">
                    <c:v>0</c:v>
                  </c:pt>
                  <c:pt idx="1">
                    <c:v>0</c:v>
                  </c:pt>
                  <c:pt idx="2">
                    <c:v>0</c:v>
                  </c:pt>
                  <c:pt idx="3">
                    <c:v>0</c:v>
                  </c:pt>
                  <c:pt idx="4">
                    <c:v>0</c:v>
                  </c:pt>
                  <c:pt idx="5">
                    <c:v>0</c:v>
                  </c:pt>
                  <c:pt idx="6">
                    <c:v>0</c:v>
                  </c:pt>
                </c:numCache>
              </c:numRef>
            </c:minus>
            <c:spPr>
              <a:noFill/>
              <a:ln w="60325" cap="flat" cmpd="sng" algn="ctr">
                <a:solidFill>
                  <a:schemeClr val="tx1">
                    <a:lumMod val="65000"/>
                    <a:lumOff val="35000"/>
                  </a:schemeClr>
                </a:solidFill>
                <a:prstDash val="solid"/>
                <a:round/>
                <a:headEnd type="none"/>
                <a:tailEnd type="arrow" w="med" len="med"/>
              </a:ln>
              <a:effectLst>
                <a:outerShdw blurRad="50800" dist="38100" dir="2700000" algn="tl" rotWithShape="0">
                  <a:prstClr val="black">
                    <a:alpha val="40000"/>
                  </a:prstClr>
                </a:outerShdw>
              </a:effectLst>
            </c:spPr>
          </c:errBars>
          <c:cat>
            <c:strRef>
              <c:f>'Example assessment'!$AC$15:$AC$19</c:f>
              <c:strCache>
                <c:ptCount val="5"/>
                <c:pt idx="0">
                  <c:v>Walk</c:v>
                </c:pt>
                <c:pt idx="1">
                  <c:v>Cycle</c:v>
                </c:pt>
                <c:pt idx="2">
                  <c:v>PT</c:v>
                </c:pt>
                <c:pt idx="3">
                  <c:v>Freight</c:v>
                </c:pt>
                <c:pt idx="4">
                  <c:v>Gnrl Trfc</c:v>
                </c:pt>
              </c:strCache>
            </c:strRef>
          </c:cat>
          <c:val>
            <c:numRef>
              <c:f>'Example assessment'!$AG$25:$AG$29</c:f>
              <c:numCache>
                <c:formatCode>General</c:formatCode>
                <c:ptCount val="5"/>
                <c:pt idx="0">
                  <c:v>3</c:v>
                </c:pt>
                <c:pt idx="1">
                  <c:v>1</c:v>
                </c:pt>
                <c:pt idx="2">
                  <c:v>2</c:v>
                </c:pt>
                <c:pt idx="3">
                  <c:v>5</c:v>
                </c:pt>
                <c:pt idx="4">
                  <c:v>5</c:v>
                </c:pt>
              </c:numCache>
            </c:numRef>
          </c:val>
          <c:extLst>
            <c:ext xmlns:c16="http://schemas.microsoft.com/office/drawing/2014/chart" uri="{C3380CC4-5D6E-409C-BE32-E72D297353CC}">
              <c16:uniqueId val="{0000000A-0397-4D1D-B1CD-CFB4443E699F}"/>
            </c:ext>
          </c:extLst>
        </c:ser>
        <c:dLbls>
          <c:showLegendKey val="0"/>
          <c:showVal val="0"/>
          <c:showCatName val="0"/>
          <c:showSerName val="0"/>
          <c:showPercent val="0"/>
          <c:showBubbleSize val="0"/>
        </c:dLbls>
        <c:gapWidth val="0"/>
        <c:overlap val="-25"/>
        <c:axId val="1910663984"/>
        <c:axId val="1910664400"/>
      </c:barChart>
      <c:lineChart>
        <c:grouping val="standard"/>
        <c:varyColors val="0"/>
        <c:ser>
          <c:idx val="2"/>
          <c:order val="1"/>
          <c:tx>
            <c:strRef>
              <c:f>'Example assessment'!$AL$24</c:f>
              <c:strCache>
                <c:ptCount val="1"/>
                <c:pt idx="0">
                  <c:v>Project LOS Score</c:v>
                </c:pt>
              </c:strCache>
            </c:strRef>
          </c:tx>
          <c:spPr>
            <a:ln w="28575" cap="rnd">
              <a:noFill/>
              <a:round/>
            </a:ln>
            <a:effectLst/>
          </c:spPr>
          <c:marker>
            <c:symbol val="picture"/>
            <c:spPr>
              <a:blipFill>
                <a:blip xmlns:r="http://schemas.openxmlformats.org/officeDocument/2006/relationships" r:embed="rId1"/>
                <a:stretch>
                  <a:fillRect/>
                </a:stretch>
              </a:blipFill>
              <a:ln w="9525">
                <a:noFill/>
              </a:ln>
              <a:effectLst/>
            </c:spPr>
          </c:marker>
          <c:cat>
            <c:strRef>
              <c:f>'Example assessment'!$AC$15:$AC$21</c:f>
              <c:strCache>
                <c:ptCount val="5"/>
                <c:pt idx="0">
                  <c:v>Walk</c:v>
                </c:pt>
                <c:pt idx="1">
                  <c:v>Cycle</c:v>
                </c:pt>
                <c:pt idx="2">
                  <c:v>PT</c:v>
                </c:pt>
                <c:pt idx="3">
                  <c:v>Freight</c:v>
                </c:pt>
                <c:pt idx="4">
                  <c:v>Gnrl Trfc</c:v>
                </c:pt>
              </c:strCache>
            </c:strRef>
          </c:cat>
          <c:val>
            <c:numRef>
              <c:f>'Example assessment'!$AL$25:$AL$29</c:f>
              <c:numCache>
                <c:formatCode>General</c:formatCode>
                <c:ptCount val="5"/>
                <c:pt idx="0">
                  <c:v>4</c:v>
                </c:pt>
                <c:pt idx="1">
                  <c:v>1</c:v>
                </c:pt>
                <c:pt idx="2">
                  <c:v>3</c:v>
                </c:pt>
                <c:pt idx="3">
                  <c:v>5</c:v>
                </c:pt>
                <c:pt idx="4">
                  <c:v>5</c:v>
                </c:pt>
              </c:numCache>
            </c:numRef>
          </c:val>
          <c:smooth val="0"/>
          <c:extLst>
            <c:ext xmlns:c16="http://schemas.microsoft.com/office/drawing/2014/chart" uri="{C3380CC4-5D6E-409C-BE32-E72D297353CC}">
              <c16:uniqueId val="{0000000B-0397-4D1D-B1CD-CFB4443E699F}"/>
            </c:ext>
          </c:extLst>
        </c:ser>
        <c:ser>
          <c:idx val="3"/>
          <c:order val="2"/>
          <c:tx>
            <c:strRef>
              <c:f>'Example assessment'!$AK$24</c:f>
              <c:strCache>
                <c:ptCount val="1"/>
                <c:pt idx="0">
                  <c:v>Acceptable Target lower range score</c:v>
                </c:pt>
              </c:strCache>
            </c:strRef>
          </c:tx>
          <c:spPr>
            <a:ln w="25400" cap="rnd" cmpd="dbl">
              <a:noFill/>
              <a:prstDash val="sysDot"/>
              <a:round/>
            </a:ln>
            <a:effectLst/>
          </c:spPr>
          <c:marker>
            <c:symbol val="circle"/>
            <c:size val="5"/>
            <c:spPr>
              <a:solidFill>
                <a:schemeClr val="accent4"/>
              </a:solidFill>
              <a:ln w="9525">
                <a:solidFill>
                  <a:schemeClr val="accent4"/>
                </a:solidFill>
              </a:ln>
              <a:effectLst/>
            </c:spPr>
          </c:marker>
          <c:dPt>
            <c:idx val="0"/>
            <c:marker>
              <c:symbol val="picture"/>
              <c:spPr>
                <a:blipFill>
                  <a:blip xmlns:r="http://schemas.openxmlformats.org/officeDocument/2006/relationships" r:embed="rId2"/>
                  <a:stretch>
                    <a:fillRect/>
                  </a:stretch>
                </a:blipFill>
                <a:ln w="9525">
                  <a:noFill/>
                </a:ln>
                <a:effectLst/>
              </c:spPr>
            </c:marker>
            <c:bubble3D val="0"/>
            <c:extLst>
              <c:ext xmlns:c16="http://schemas.microsoft.com/office/drawing/2014/chart" uri="{C3380CC4-5D6E-409C-BE32-E72D297353CC}">
                <c16:uniqueId val="{0000000C-0397-4D1D-B1CD-CFB4443E699F}"/>
              </c:ext>
            </c:extLst>
          </c:dPt>
          <c:dPt>
            <c:idx val="1"/>
            <c:marker>
              <c:symbol val="picture"/>
              <c:spPr>
                <a:blipFill>
                  <a:blip xmlns:r="http://schemas.openxmlformats.org/officeDocument/2006/relationships" r:embed="rId3"/>
                  <a:stretch>
                    <a:fillRect/>
                  </a:stretch>
                </a:blipFill>
                <a:ln w="9525">
                  <a:noFill/>
                </a:ln>
                <a:effectLst/>
              </c:spPr>
            </c:marker>
            <c:bubble3D val="0"/>
            <c:extLst>
              <c:ext xmlns:c16="http://schemas.microsoft.com/office/drawing/2014/chart" uri="{C3380CC4-5D6E-409C-BE32-E72D297353CC}">
                <c16:uniqueId val="{0000000D-0397-4D1D-B1CD-CFB4443E699F}"/>
              </c:ext>
            </c:extLst>
          </c:dPt>
          <c:dPt>
            <c:idx val="2"/>
            <c:marker>
              <c:symbol val="picture"/>
              <c:spPr>
                <a:blipFill>
                  <a:blip xmlns:r="http://schemas.openxmlformats.org/officeDocument/2006/relationships" r:embed="rId4"/>
                  <a:stretch>
                    <a:fillRect/>
                  </a:stretch>
                </a:blipFill>
                <a:ln w="9525">
                  <a:noFill/>
                </a:ln>
                <a:effectLst/>
              </c:spPr>
            </c:marker>
            <c:bubble3D val="0"/>
            <c:extLst>
              <c:ext xmlns:c16="http://schemas.microsoft.com/office/drawing/2014/chart" uri="{C3380CC4-5D6E-409C-BE32-E72D297353CC}">
                <c16:uniqueId val="{0000000E-0397-4D1D-B1CD-CFB4443E699F}"/>
              </c:ext>
            </c:extLst>
          </c:dPt>
          <c:dPt>
            <c:idx val="3"/>
            <c:marker>
              <c:symbol val="picture"/>
              <c:spPr>
                <a:blipFill>
                  <a:blip xmlns:r="http://schemas.openxmlformats.org/officeDocument/2006/relationships" r:embed="rId5"/>
                  <a:stretch>
                    <a:fillRect/>
                  </a:stretch>
                </a:blipFill>
                <a:ln w="9525">
                  <a:noFill/>
                </a:ln>
                <a:effectLst/>
              </c:spPr>
            </c:marker>
            <c:bubble3D val="0"/>
            <c:extLst>
              <c:ext xmlns:c16="http://schemas.microsoft.com/office/drawing/2014/chart" uri="{C3380CC4-5D6E-409C-BE32-E72D297353CC}">
                <c16:uniqueId val="{0000000F-0397-4D1D-B1CD-CFB4443E699F}"/>
              </c:ext>
            </c:extLst>
          </c:dPt>
          <c:dPt>
            <c:idx val="4"/>
            <c:marker>
              <c:symbol val="picture"/>
              <c:spPr>
                <a:blipFill>
                  <a:blip xmlns:r="http://schemas.openxmlformats.org/officeDocument/2006/relationships" r:embed="rId6"/>
                  <a:stretch>
                    <a:fillRect/>
                  </a:stretch>
                </a:blipFill>
                <a:ln w="9525">
                  <a:noFill/>
                </a:ln>
                <a:effectLst/>
              </c:spPr>
            </c:marker>
            <c:bubble3D val="0"/>
            <c:extLst>
              <c:ext xmlns:c16="http://schemas.microsoft.com/office/drawing/2014/chart" uri="{C3380CC4-5D6E-409C-BE32-E72D297353CC}">
                <c16:uniqueId val="{00000010-0397-4D1D-B1CD-CFB4443E699F}"/>
              </c:ext>
            </c:extLst>
          </c:dPt>
          <c:cat>
            <c:strRef>
              <c:f>'Example assessment'!$AC$15:$AC$21</c:f>
              <c:strCache>
                <c:ptCount val="5"/>
                <c:pt idx="0">
                  <c:v>Walk</c:v>
                </c:pt>
                <c:pt idx="1">
                  <c:v>Cycle</c:v>
                </c:pt>
                <c:pt idx="2">
                  <c:v>PT</c:v>
                </c:pt>
                <c:pt idx="3">
                  <c:v>Freight</c:v>
                </c:pt>
                <c:pt idx="4">
                  <c:v>Gnrl Trfc</c:v>
                </c:pt>
              </c:strCache>
            </c:strRef>
          </c:cat>
          <c:val>
            <c:numRef>
              <c:f>'Example assessment'!$AK$25:$AK$29</c:f>
              <c:numCache>
                <c:formatCode>General</c:formatCode>
                <c:ptCount val="5"/>
                <c:pt idx="0">
                  <c:v>3</c:v>
                </c:pt>
                <c:pt idx="1">
                  <c:v>3</c:v>
                </c:pt>
                <c:pt idx="2">
                  <c:v>3</c:v>
                </c:pt>
                <c:pt idx="3">
                  <c:v>1</c:v>
                </c:pt>
                <c:pt idx="4">
                  <c:v>3</c:v>
                </c:pt>
              </c:numCache>
            </c:numRef>
          </c:val>
          <c:smooth val="0"/>
          <c:extLst>
            <c:ext xmlns:c16="http://schemas.microsoft.com/office/drawing/2014/chart" uri="{C3380CC4-5D6E-409C-BE32-E72D297353CC}">
              <c16:uniqueId val="{00000011-0397-4D1D-B1CD-CFB4443E699F}"/>
            </c:ext>
          </c:extLst>
        </c:ser>
        <c:ser>
          <c:idx val="1"/>
          <c:order val="3"/>
          <c:tx>
            <c:strRef>
              <c:f>'Example assessment'!$AD$24</c:f>
              <c:strCache>
                <c:ptCount val="1"/>
                <c:pt idx="0">
                  <c:v>ANOP Acceptable Target LOS (base)</c:v>
                </c:pt>
              </c:strCache>
            </c:strRef>
          </c:tx>
          <c:spPr>
            <a:ln w="50800" cap="rnd" cmpd="sng">
              <a:noFill/>
              <a:prstDash val="sysDot"/>
              <a:round/>
            </a:ln>
            <a:effectLst/>
          </c:spPr>
          <c:marker>
            <c:symbol val="picture"/>
            <c:spPr>
              <a:blipFill>
                <a:blip xmlns:r="http://schemas.openxmlformats.org/officeDocument/2006/relationships" r:embed="rId7"/>
                <a:stretch>
                  <a:fillRect/>
                </a:stretch>
              </a:blipFill>
              <a:ln w="9525">
                <a:noFill/>
              </a:ln>
              <a:effectLst/>
            </c:spPr>
          </c:marker>
          <c:dPt>
            <c:idx val="0"/>
            <c:marker>
              <c:spPr>
                <a:blipFill>
                  <a:blip xmlns:r="http://schemas.openxmlformats.org/officeDocument/2006/relationships" r:embed="rId8"/>
                  <a:stretch>
                    <a:fillRect/>
                  </a:stretch>
                </a:blipFill>
                <a:ln w="9525">
                  <a:noFill/>
                </a:ln>
                <a:effectLst/>
              </c:spPr>
            </c:marker>
            <c:bubble3D val="0"/>
            <c:extLst>
              <c:ext xmlns:c16="http://schemas.microsoft.com/office/drawing/2014/chart" uri="{C3380CC4-5D6E-409C-BE32-E72D297353CC}">
                <c16:uniqueId val="{00000012-0397-4D1D-B1CD-CFB4443E699F}"/>
              </c:ext>
            </c:extLst>
          </c:dPt>
          <c:dPt>
            <c:idx val="1"/>
            <c:marker>
              <c:spPr>
                <a:blipFill>
                  <a:blip xmlns:r="http://schemas.openxmlformats.org/officeDocument/2006/relationships" r:embed="rId9"/>
                  <a:stretch>
                    <a:fillRect/>
                  </a:stretch>
                </a:blipFill>
                <a:ln w="9525">
                  <a:noFill/>
                </a:ln>
                <a:effectLst/>
              </c:spPr>
            </c:marker>
            <c:bubble3D val="0"/>
            <c:extLst>
              <c:ext xmlns:c16="http://schemas.microsoft.com/office/drawing/2014/chart" uri="{C3380CC4-5D6E-409C-BE32-E72D297353CC}">
                <c16:uniqueId val="{00000013-0397-4D1D-B1CD-CFB4443E699F}"/>
              </c:ext>
            </c:extLst>
          </c:dPt>
          <c:dPt>
            <c:idx val="2"/>
            <c:marker>
              <c:spPr>
                <a:blipFill>
                  <a:blip xmlns:r="http://schemas.openxmlformats.org/officeDocument/2006/relationships" r:embed="rId10"/>
                  <a:stretch>
                    <a:fillRect/>
                  </a:stretch>
                </a:blipFill>
                <a:ln w="9525">
                  <a:noFill/>
                </a:ln>
                <a:effectLst/>
              </c:spPr>
            </c:marker>
            <c:bubble3D val="0"/>
            <c:extLst>
              <c:ext xmlns:c16="http://schemas.microsoft.com/office/drawing/2014/chart" uri="{C3380CC4-5D6E-409C-BE32-E72D297353CC}">
                <c16:uniqueId val="{00000014-0397-4D1D-B1CD-CFB4443E699F}"/>
              </c:ext>
            </c:extLst>
          </c:dPt>
          <c:dPt>
            <c:idx val="3"/>
            <c:marker>
              <c:spPr>
                <a:blipFill>
                  <a:blip xmlns:r="http://schemas.openxmlformats.org/officeDocument/2006/relationships" r:embed="rId11"/>
                  <a:stretch>
                    <a:fillRect/>
                  </a:stretch>
                </a:blipFill>
                <a:ln w="9525">
                  <a:noFill/>
                </a:ln>
                <a:effectLst/>
              </c:spPr>
            </c:marker>
            <c:bubble3D val="0"/>
            <c:extLst>
              <c:ext xmlns:c16="http://schemas.microsoft.com/office/drawing/2014/chart" uri="{C3380CC4-5D6E-409C-BE32-E72D297353CC}">
                <c16:uniqueId val="{00000015-0397-4D1D-B1CD-CFB4443E699F}"/>
              </c:ext>
            </c:extLst>
          </c:dPt>
          <c:dPt>
            <c:idx val="4"/>
            <c:marker>
              <c:spPr>
                <a:blipFill>
                  <a:blip xmlns:r="http://schemas.openxmlformats.org/officeDocument/2006/relationships" r:embed="rId12"/>
                  <a:stretch>
                    <a:fillRect/>
                  </a:stretch>
                </a:blipFill>
                <a:ln w="9525">
                  <a:noFill/>
                </a:ln>
                <a:effectLst/>
              </c:spPr>
            </c:marker>
            <c:bubble3D val="0"/>
            <c:extLst>
              <c:ext xmlns:c16="http://schemas.microsoft.com/office/drawing/2014/chart" uri="{C3380CC4-5D6E-409C-BE32-E72D297353CC}">
                <c16:uniqueId val="{00000016-0397-4D1D-B1CD-CFB4443E699F}"/>
              </c:ext>
            </c:extLst>
          </c:dPt>
          <c:cat>
            <c:strRef>
              <c:f>'Example assessment'!$AC$15:$AC$19</c:f>
              <c:strCache>
                <c:ptCount val="5"/>
                <c:pt idx="0">
                  <c:v>Walk</c:v>
                </c:pt>
                <c:pt idx="1">
                  <c:v>Cycle</c:v>
                </c:pt>
                <c:pt idx="2">
                  <c:v>PT</c:v>
                </c:pt>
                <c:pt idx="3">
                  <c:v>Freight</c:v>
                </c:pt>
                <c:pt idx="4">
                  <c:v>Gnrl Trfc</c:v>
                </c:pt>
              </c:strCache>
            </c:strRef>
          </c:cat>
          <c:val>
            <c:numRef>
              <c:f>'Example assessment'!$AJ$25:$AJ$29</c:f>
              <c:numCache>
                <c:formatCode>General</c:formatCode>
                <c:ptCount val="5"/>
                <c:pt idx="0">
                  <c:v>5</c:v>
                </c:pt>
                <c:pt idx="1">
                  <c:v>5</c:v>
                </c:pt>
                <c:pt idx="2">
                  <c:v>5</c:v>
                </c:pt>
                <c:pt idx="3">
                  <c:v>2</c:v>
                </c:pt>
                <c:pt idx="4">
                  <c:v>4</c:v>
                </c:pt>
              </c:numCache>
            </c:numRef>
          </c:val>
          <c:smooth val="0"/>
          <c:extLst>
            <c:ext xmlns:c16="http://schemas.microsoft.com/office/drawing/2014/chart" uri="{C3380CC4-5D6E-409C-BE32-E72D297353CC}">
              <c16:uniqueId val="{00000017-0397-4D1D-B1CD-CFB4443E699F}"/>
            </c:ext>
          </c:extLst>
        </c:ser>
        <c:dLbls>
          <c:showLegendKey val="0"/>
          <c:showVal val="0"/>
          <c:showCatName val="0"/>
          <c:showSerName val="0"/>
          <c:showPercent val="0"/>
          <c:showBubbleSize val="0"/>
        </c:dLbls>
        <c:marker val="1"/>
        <c:smooth val="0"/>
        <c:axId val="790436240"/>
        <c:axId val="790447472"/>
      </c:lineChart>
      <c:catAx>
        <c:axId val="191066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bg1"/>
                </a:solidFill>
                <a:latin typeface="+mn-lt"/>
                <a:ea typeface="+mn-ea"/>
                <a:cs typeface="+mn-cs"/>
              </a:defRPr>
            </a:pPr>
            <a:endParaRPr lang="en-US"/>
          </a:p>
        </c:txPr>
        <c:crossAx val="1910664400"/>
        <c:crosses val="autoZero"/>
        <c:auto val="1"/>
        <c:lblAlgn val="ctr"/>
        <c:lblOffset val="100"/>
        <c:noMultiLvlLbl val="0"/>
      </c:catAx>
      <c:valAx>
        <c:axId val="1910664400"/>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910663984"/>
        <c:crosses val="autoZero"/>
        <c:crossBetween val="between"/>
      </c:valAx>
      <c:valAx>
        <c:axId val="790447472"/>
        <c:scaling>
          <c:orientation val="minMax"/>
          <c:max val="7"/>
        </c:scaling>
        <c:delete val="1"/>
        <c:axPos val="r"/>
        <c:numFmt formatCode="General" sourceLinked="1"/>
        <c:majorTickMark val="out"/>
        <c:minorTickMark val="none"/>
        <c:tickLblPos val="nextTo"/>
        <c:crossAx val="790436240"/>
        <c:crosses val="max"/>
        <c:crossBetween val="between"/>
      </c:valAx>
      <c:catAx>
        <c:axId val="790436240"/>
        <c:scaling>
          <c:orientation val="minMax"/>
        </c:scaling>
        <c:delete val="1"/>
        <c:axPos val="b"/>
        <c:numFmt formatCode="General" sourceLinked="1"/>
        <c:majorTickMark val="out"/>
        <c:minorTickMark val="none"/>
        <c:tickLblPos val="nextTo"/>
        <c:crossAx val="790447472"/>
        <c:crosses val="autoZero"/>
        <c:auto val="1"/>
        <c:lblAlgn val="ctr"/>
        <c:lblOffset val="100"/>
        <c:noMultiLvlLbl val="0"/>
      </c:catAx>
      <c:spPr>
        <a:solidFill>
          <a:schemeClr val="bg1"/>
        </a:solidFill>
        <a:ln>
          <a:solidFill>
            <a:schemeClr val="bg1">
              <a:lumMod val="75000"/>
            </a:schemeClr>
          </a:solidFill>
          <a:round/>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rgbClr val="C8C8C8"/>
      </a:solidFill>
      <a:round/>
    </a:ln>
    <a:effectLst/>
  </c:spPr>
  <c:txPr>
    <a:bodyPr/>
    <a:lstStyle/>
    <a:p>
      <a:pPr>
        <a:defRPr/>
      </a:pPr>
      <a:endParaRPr lang="en-US"/>
    </a:p>
  </c:txPr>
  <c:printSettings>
    <c:headerFooter/>
    <c:pageMargins b="0.75" l="0.7" r="0.7" t="0.75" header="0.3" footer="0.3"/>
    <c:pageSetup/>
  </c:printSettings>
  <c:userShapes r:id="rId13"/>
</c:chartSpace>
</file>

<file path=xl/drawings/_rels/drawing1.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emf"/><Relationship Id="rId3" Type="http://schemas.openxmlformats.org/officeDocument/2006/relationships/image" Target="../media/image24.svg"/><Relationship Id="rId7" Type="http://schemas.openxmlformats.org/officeDocument/2006/relationships/image" Target="../media/image28.svg"/><Relationship Id="rId12" Type="http://schemas.openxmlformats.org/officeDocument/2006/relationships/image" Target="../media/image33.png"/><Relationship Id="rId2" Type="http://schemas.openxmlformats.org/officeDocument/2006/relationships/image" Target="../media/image23.png"/><Relationship Id="rId1" Type="http://schemas.openxmlformats.org/officeDocument/2006/relationships/chart" Target="../charts/chart1.xml"/><Relationship Id="rId6" Type="http://schemas.openxmlformats.org/officeDocument/2006/relationships/image" Target="../media/image27.png"/><Relationship Id="rId11" Type="http://schemas.openxmlformats.org/officeDocument/2006/relationships/image" Target="../media/image32.svg"/><Relationship Id="rId5" Type="http://schemas.openxmlformats.org/officeDocument/2006/relationships/image" Target="../media/image26.sv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svg"/></Relationships>
</file>

<file path=xl/drawings/_rels/drawing3.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3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emf"/><Relationship Id="rId1" Type="http://schemas.openxmlformats.org/officeDocument/2006/relationships/image" Target="../media/image37.png"/></Relationships>
</file>

<file path=xl/drawings/_rels/drawing6.xml.rels><?xml version="1.0" encoding="UTF-8" standalone="yes"?>
<Relationships xmlns="http://schemas.openxmlformats.org/package/2006/relationships"><Relationship Id="rId8" Type="http://schemas.openxmlformats.org/officeDocument/2006/relationships/image" Target="../media/image28.svg"/><Relationship Id="rId13" Type="http://schemas.openxmlformats.org/officeDocument/2006/relationships/image" Target="../media/image33.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image" Target="../media/image32.svg"/><Relationship Id="rId2" Type="http://schemas.openxmlformats.org/officeDocument/2006/relationships/chart" Target="../charts/chart2.xml"/><Relationship Id="rId1" Type="http://schemas.openxmlformats.org/officeDocument/2006/relationships/image" Target="../media/image40.emf"/><Relationship Id="rId6" Type="http://schemas.openxmlformats.org/officeDocument/2006/relationships/image" Target="../media/image26.svg"/><Relationship Id="rId11" Type="http://schemas.openxmlformats.org/officeDocument/2006/relationships/image" Target="../media/image31.png"/><Relationship Id="rId5" Type="http://schemas.openxmlformats.org/officeDocument/2006/relationships/image" Target="../media/image25.png"/><Relationship Id="rId10" Type="http://schemas.openxmlformats.org/officeDocument/2006/relationships/image" Target="../media/image30.svg"/><Relationship Id="rId4" Type="http://schemas.openxmlformats.org/officeDocument/2006/relationships/image" Target="../media/image24.svg"/><Relationship Id="rId9" Type="http://schemas.openxmlformats.org/officeDocument/2006/relationships/image" Target="../media/image29.png"/></Relationships>
</file>

<file path=xl/drawings/_rels/drawing8.xml.rels><?xml version="1.0" encoding="UTF-8" standalone="yes"?>
<Relationships xmlns="http://schemas.openxmlformats.org/package/2006/relationships"><Relationship Id="rId8" Type="http://schemas.openxmlformats.org/officeDocument/2006/relationships/image" Target="../media/image48.svg"/><Relationship Id="rId13" Type="http://schemas.openxmlformats.org/officeDocument/2006/relationships/image" Target="../media/image53.png"/><Relationship Id="rId3" Type="http://schemas.openxmlformats.org/officeDocument/2006/relationships/image" Target="../media/image43.png"/><Relationship Id="rId7" Type="http://schemas.openxmlformats.org/officeDocument/2006/relationships/image" Target="../media/image47.png"/><Relationship Id="rId12" Type="http://schemas.openxmlformats.org/officeDocument/2006/relationships/image" Target="../media/image52.svg"/><Relationship Id="rId2" Type="http://schemas.openxmlformats.org/officeDocument/2006/relationships/image" Target="../media/image42.svg"/><Relationship Id="rId1" Type="http://schemas.openxmlformats.org/officeDocument/2006/relationships/image" Target="../media/image41.png"/><Relationship Id="rId6" Type="http://schemas.openxmlformats.org/officeDocument/2006/relationships/image" Target="../media/image46.svg"/><Relationship Id="rId11" Type="http://schemas.openxmlformats.org/officeDocument/2006/relationships/image" Target="../media/image51.png"/><Relationship Id="rId5" Type="http://schemas.openxmlformats.org/officeDocument/2006/relationships/image" Target="../media/image45.png"/><Relationship Id="rId10" Type="http://schemas.openxmlformats.org/officeDocument/2006/relationships/image" Target="../media/image50.svg"/><Relationship Id="rId4" Type="http://schemas.openxmlformats.org/officeDocument/2006/relationships/image" Target="../media/image44.svg"/><Relationship Id="rId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xdr:from>
      <xdr:col>7</xdr:col>
      <xdr:colOff>4626</xdr:colOff>
      <xdr:row>15</xdr:row>
      <xdr:rowOff>190501</xdr:rowOff>
    </xdr:from>
    <xdr:to>
      <xdr:col>15</xdr:col>
      <xdr:colOff>3810</xdr:colOff>
      <xdr:row>36</xdr:row>
      <xdr:rowOff>7798</xdr:rowOff>
    </xdr:to>
    <xdr:grpSp>
      <xdr:nvGrpSpPr>
        <xdr:cNvPr id="12" name="Group 11">
          <a:extLst>
            <a:ext uri="{FF2B5EF4-FFF2-40B4-BE49-F238E27FC236}">
              <a16:creationId xmlns:a16="http://schemas.microsoft.com/office/drawing/2014/main" id="{E9E12318-D118-258C-0EA2-347482B49054}"/>
            </a:ext>
          </a:extLst>
        </xdr:cNvPr>
        <xdr:cNvGrpSpPr/>
      </xdr:nvGrpSpPr>
      <xdr:grpSpPr>
        <a:xfrm>
          <a:off x="6875326" y="6235701"/>
          <a:ext cx="6761934" cy="4541697"/>
          <a:chOff x="7251246" y="2070929"/>
          <a:chExt cx="6464754" cy="3938140"/>
        </a:xfrm>
      </xdr:grpSpPr>
      <xdr:grpSp>
        <xdr:nvGrpSpPr>
          <xdr:cNvPr id="17" name="Group 16">
            <a:extLst>
              <a:ext uri="{FF2B5EF4-FFF2-40B4-BE49-F238E27FC236}">
                <a16:creationId xmlns:a16="http://schemas.microsoft.com/office/drawing/2014/main" id="{00000000-0008-0000-0000-000011000000}"/>
              </a:ext>
            </a:extLst>
          </xdr:cNvPr>
          <xdr:cNvGrpSpPr/>
        </xdr:nvGrpSpPr>
        <xdr:grpSpPr>
          <a:xfrm>
            <a:off x="7251246" y="2070929"/>
            <a:ext cx="6464754" cy="3938140"/>
            <a:chOff x="6861007" y="1289012"/>
            <a:chExt cx="7782833" cy="4159288"/>
          </a:xfrm>
        </xdr:grpSpPr>
        <xdr:grpSp>
          <xdr:nvGrpSpPr>
            <xdr:cNvPr id="5" name="Group 4">
              <a:extLst>
                <a:ext uri="{FF2B5EF4-FFF2-40B4-BE49-F238E27FC236}">
                  <a16:creationId xmlns:a16="http://schemas.microsoft.com/office/drawing/2014/main" id="{00000000-0008-0000-0000-000005000000}"/>
                </a:ext>
              </a:extLst>
            </xdr:cNvPr>
            <xdr:cNvGrpSpPr/>
          </xdr:nvGrpSpPr>
          <xdr:grpSpPr>
            <a:xfrm>
              <a:off x="6861007" y="1289012"/>
              <a:ext cx="7782833" cy="4159288"/>
              <a:chOff x="7775996" y="1255978"/>
              <a:chExt cx="4850818" cy="4533242"/>
            </a:xfrm>
          </xdr:grpSpPr>
          <xdr:graphicFrame macro="">
            <xdr:nvGraphicFramePr>
              <xdr:cNvPr id="29" name="Chart 28">
                <a:extLst>
                  <a:ext uri="{FF2B5EF4-FFF2-40B4-BE49-F238E27FC236}">
                    <a16:creationId xmlns:a16="http://schemas.microsoft.com/office/drawing/2014/main" id="{00000000-0008-0000-0000-00001D000000}"/>
                  </a:ext>
                </a:extLst>
              </xdr:cNvPr>
              <xdr:cNvGraphicFramePr>
                <a:graphicFrameLocks noChangeAspect="1"/>
              </xdr:cNvGraphicFramePr>
            </xdr:nvGraphicFramePr>
            <xdr:xfrm>
              <a:off x="7775996" y="1255978"/>
              <a:ext cx="4850818" cy="4533242"/>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2" name="Group 41">
                <a:extLst>
                  <a:ext uri="{FF2B5EF4-FFF2-40B4-BE49-F238E27FC236}">
                    <a16:creationId xmlns:a16="http://schemas.microsoft.com/office/drawing/2014/main" id="{00000000-0008-0000-0000-00002A000000}"/>
                  </a:ext>
                </a:extLst>
              </xdr:cNvPr>
              <xdr:cNvGrpSpPr/>
            </xdr:nvGrpSpPr>
            <xdr:grpSpPr>
              <a:xfrm>
                <a:off x="8627958" y="1648631"/>
                <a:ext cx="3599894" cy="670065"/>
                <a:chOff x="6307860" y="1208321"/>
                <a:chExt cx="3878003" cy="655346"/>
              </a:xfrm>
            </xdr:grpSpPr>
            <xdr:sp macro="" textlink="">
              <xdr:nvSpPr>
                <xdr:cNvPr id="34" name="Rectangle 33">
                  <a:extLst>
                    <a:ext uri="{FF2B5EF4-FFF2-40B4-BE49-F238E27FC236}">
                      <a16:creationId xmlns:a16="http://schemas.microsoft.com/office/drawing/2014/main" id="{00000000-0008-0000-0000-000022000000}"/>
                    </a:ext>
                  </a:extLst>
                </xdr:cNvPr>
                <xdr:cNvSpPr/>
              </xdr:nvSpPr>
              <xdr:spPr>
                <a:xfrm>
                  <a:off x="6307860" y="1373149"/>
                  <a:ext cx="376568" cy="231927"/>
                </a:xfrm>
                <a:prstGeom prst="rect">
                  <a:avLst/>
                </a:prstGeom>
                <a:solidFill>
                  <a:schemeClr val="accent1">
                    <a:alpha val="76000"/>
                  </a:schemeClr>
                </a:solidFill>
                <a:ln w="952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6678023" y="1268393"/>
                  <a:ext cx="772871" cy="57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a:solidFill>
                        <a:schemeClr val="tx1">
                          <a:lumMod val="65000"/>
                          <a:lumOff val="35000"/>
                        </a:schemeClr>
                      </a:solidFill>
                      <a:latin typeface="Gotham Narrow Light" pitchFamily="50" charset="0"/>
                    </a:rPr>
                    <a:t>Observed Loss</a:t>
                  </a:r>
                </a:p>
              </xdr:txBody>
            </xdr:sp>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8006592" y="1208321"/>
                  <a:ext cx="1066262" cy="655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a:solidFill>
                        <a:schemeClr val="tx1">
                          <a:lumMod val="65000"/>
                          <a:lumOff val="35000"/>
                        </a:schemeClr>
                      </a:solidFill>
                      <a:latin typeface="Gotham Narrow Light" pitchFamily="50" charset="0"/>
                    </a:rPr>
                    <a:t>Preferred LOS</a:t>
                  </a:r>
                </a:p>
                <a:p>
                  <a:endParaRPr lang="en-NZ" sz="400">
                    <a:solidFill>
                      <a:schemeClr val="tx1">
                        <a:lumMod val="65000"/>
                        <a:lumOff val="35000"/>
                      </a:schemeClr>
                    </a:solidFill>
                    <a:latin typeface="Gotham Narrow Light" pitchFamily="50" charset="0"/>
                  </a:endParaRPr>
                </a:p>
                <a:p>
                  <a:r>
                    <a:rPr lang="en-NZ" sz="1200">
                      <a:solidFill>
                        <a:schemeClr val="tx1">
                          <a:lumMod val="65000"/>
                          <a:lumOff val="35000"/>
                        </a:schemeClr>
                      </a:solidFill>
                      <a:latin typeface="Gotham Narrow Light" pitchFamily="50" charset="0"/>
                    </a:rPr>
                    <a:t>Acceptable LOS</a:t>
                  </a:r>
                </a:p>
              </xdr:txBody>
            </xdr:sp>
            <xdr:sp macro="" textlink="">
              <xdr:nvSpPr>
                <xdr:cNvPr id="38" name="TextBox 37">
                  <a:extLst>
                    <a:ext uri="{FF2B5EF4-FFF2-40B4-BE49-F238E27FC236}">
                      <a16:creationId xmlns:a16="http://schemas.microsoft.com/office/drawing/2014/main" id="{00000000-0008-0000-0000-000026000000}"/>
                    </a:ext>
                  </a:extLst>
                </xdr:cNvPr>
                <xdr:cNvSpPr txBox="1"/>
              </xdr:nvSpPr>
              <xdr:spPr>
                <a:xfrm>
                  <a:off x="9419094" y="1269487"/>
                  <a:ext cx="766769" cy="532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a:solidFill>
                        <a:schemeClr val="tx1">
                          <a:lumMod val="65000"/>
                          <a:lumOff val="35000"/>
                        </a:schemeClr>
                      </a:solidFill>
                      <a:latin typeface="Gotham Narrow Light" pitchFamily="50" charset="0"/>
                    </a:rPr>
                    <a:t>Project Impact</a:t>
                  </a:r>
                </a:p>
              </xdr:txBody>
            </xdr:sp>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flipV="1">
                  <a:off x="9225704" y="1400752"/>
                  <a:ext cx="0" cy="256441"/>
                </a:xfrm>
                <a:prstGeom prst="straightConnector1">
                  <a:avLst/>
                </a:prstGeom>
                <a:ln w="38100">
                  <a:solidFill>
                    <a:schemeClr val="tx1">
                      <a:lumMod val="65000"/>
                      <a:lumOff val="35000"/>
                    </a:schemeClr>
                  </a:solidFill>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grpSp>
            <xdr:nvGrpSpPr>
              <xdr:cNvPr id="3" name="Group 2">
                <a:extLst>
                  <a:ext uri="{FF2B5EF4-FFF2-40B4-BE49-F238E27FC236}">
                    <a16:creationId xmlns:a16="http://schemas.microsoft.com/office/drawing/2014/main" id="{00000000-0008-0000-0000-000003000000}"/>
                  </a:ext>
                </a:extLst>
              </xdr:cNvPr>
              <xdr:cNvGrpSpPr/>
            </xdr:nvGrpSpPr>
            <xdr:grpSpPr>
              <a:xfrm>
                <a:off x="8309079" y="2518844"/>
                <a:ext cx="272421" cy="2203498"/>
                <a:chOff x="6278604" y="2620409"/>
                <a:chExt cx="282147" cy="2094318"/>
              </a:xfrm>
            </xdr:grpSpPr>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6278605" y="2620409"/>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A</a:t>
                  </a:r>
                </a:p>
              </xdr:txBody>
            </xdr:sp>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6278606" y="3003159"/>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B</a:t>
                  </a:r>
                </a:p>
              </xdr:txBody>
            </xdr:sp>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6278604" y="3366630"/>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C</a:t>
                  </a:r>
                </a:p>
              </xdr:txBody>
            </xdr:sp>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6284526" y="3738241"/>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D</a:t>
                  </a:r>
                </a:p>
              </xdr:txBody>
            </xdr:sp>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6278605" y="4090261"/>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E</a:t>
                  </a:r>
                </a:p>
              </xdr:txBody>
            </xdr:sp>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6280087" y="4457552"/>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F</a:t>
                  </a:r>
                </a:p>
              </xdr:txBody>
            </xdr:sp>
          </xdr:grpSp>
        </xdr:grpSp>
        <xdr:pic>
          <xdr:nvPicPr>
            <xdr:cNvPr id="2" name="Graphic 18" descr="Truck with solid fil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2071450" y="4856105"/>
              <a:ext cx="651828" cy="497710"/>
            </a:xfrm>
            <a:prstGeom prst="rect">
              <a:avLst/>
            </a:prstGeom>
          </xdr:spPr>
        </xdr:pic>
        <xdr:pic>
          <xdr:nvPicPr>
            <xdr:cNvPr id="6" name="Graphic 20" descr="Bus with solid fill">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840744" y="4841891"/>
              <a:ext cx="651828" cy="497710"/>
            </a:xfrm>
            <a:prstGeom prst="rect">
              <a:avLst/>
            </a:prstGeom>
          </xdr:spPr>
        </xdr:pic>
        <xdr:pic>
          <xdr:nvPicPr>
            <xdr:cNvPr id="7" name="Graphic 22" descr="Car with solid fill">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3257896" y="4881212"/>
              <a:ext cx="651828" cy="497710"/>
            </a:xfrm>
            <a:prstGeom prst="rect">
              <a:avLst/>
            </a:prstGeom>
          </xdr:spPr>
        </xdr:pic>
        <xdr:pic>
          <xdr:nvPicPr>
            <xdr:cNvPr id="8" name="Graphic 24" descr="Cycling with solid fill">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9649417" y="4847733"/>
              <a:ext cx="651828" cy="497710"/>
            </a:xfrm>
            <a:prstGeom prst="rect">
              <a:avLst/>
            </a:prstGeom>
          </xdr:spPr>
        </xdr:pic>
        <xdr:pic>
          <xdr:nvPicPr>
            <xdr:cNvPr id="10" name="Graphic 26" descr="Walk with solid fill">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8444923" y="4806315"/>
              <a:ext cx="651828" cy="497710"/>
            </a:xfrm>
            <a:prstGeom prst="rect">
              <a:avLst/>
            </a:prstGeom>
          </xdr:spPr>
        </xdr:pic>
      </xdr:grpSp>
      <xdr:sp macro="" textlink="">
        <xdr:nvSpPr>
          <xdr:cNvPr id="11" name="TextBox 10">
            <a:extLst>
              <a:ext uri="{FF2B5EF4-FFF2-40B4-BE49-F238E27FC236}">
                <a16:creationId xmlns:a16="http://schemas.microsoft.com/office/drawing/2014/main" id="{01DE1ECE-7FD1-4C27-856D-242B3E101B22}"/>
              </a:ext>
            </a:extLst>
          </xdr:cNvPr>
          <xdr:cNvSpPr txBox="1"/>
        </xdr:nvSpPr>
        <xdr:spPr>
          <a:xfrm>
            <a:off x="7410732" y="3728576"/>
            <a:ext cx="628650" cy="745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solidFill>
                  <a:schemeClr val="tx1">
                    <a:lumMod val="65000"/>
                    <a:lumOff val="35000"/>
                  </a:schemeClr>
                </a:solidFill>
                <a:latin typeface="Gotham Narrow Light" pitchFamily="50" charset="0"/>
              </a:rPr>
              <a:t>Level of Service</a:t>
            </a:r>
          </a:p>
        </xdr:txBody>
      </xdr:sp>
    </xdr:grpSp>
    <xdr:clientData/>
  </xdr:twoCellAnchor>
  <xdr:twoCellAnchor editAs="oneCell">
    <xdr:from>
      <xdr:col>10</xdr:col>
      <xdr:colOff>624568</xdr:colOff>
      <xdr:row>17</xdr:row>
      <xdr:rowOff>317046</xdr:rowOff>
    </xdr:from>
    <xdr:to>
      <xdr:col>11</xdr:col>
      <xdr:colOff>304582</xdr:colOff>
      <xdr:row>19</xdr:row>
      <xdr:rowOff>3450</xdr:rowOff>
    </xdr:to>
    <xdr:pic>
      <xdr:nvPicPr>
        <xdr:cNvPr id="15" name="Picture 14">
          <a:extLst>
            <a:ext uri="{FF2B5EF4-FFF2-40B4-BE49-F238E27FC236}">
              <a16:creationId xmlns:a16="http://schemas.microsoft.com/office/drawing/2014/main" id="{1A2BE054-1DD1-6CEA-CCD4-E3AA8589EA69}"/>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387568" y="6555921"/>
          <a:ext cx="737289" cy="280765"/>
        </a:xfrm>
        <a:prstGeom prst="rect">
          <a:avLst/>
        </a:prstGeom>
      </xdr:spPr>
    </xdr:pic>
    <xdr:clientData/>
  </xdr:twoCellAnchor>
  <xdr:twoCellAnchor editAs="oneCell">
    <xdr:from>
      <xdr:col>1</xdr:col>
      <xdr:colOff>29222</xdr:colOff>
      <xdr:row>69</xdr:row>
      <xdr:rowOff>171450</xdr:rowOff>
    </xdr:from>
    <xdr:to>
      <xdr:col>7</xdr:col>
      <xdr:colOff>165100</xdr:colOff>
      <xdr:row>108</xdr:row>
      <xdr:rowOff>31750</xdr:rowOff>
    </xdr:to>
    <xdr:pic>
      <xdr:nvPicPr>
        <xdr:cNvPr id="14" name="Picture 13">
          <a:extLst>
            <a:ext uri="{FF2B5EF4-FFF2-40B4-BE49-F238E27FC236}">
              <a16:creationId xmlns:a16="http://schemas.microsoft.com/office/drawing/2014/main" id="{F988559A-06EF-2DC6-184C-8BE5BD803C1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02322" y="21558250"/>
          <a:ext cx="6333478" cy="711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0.7017</cdr:x>
      <cdr:y>0.12271</cdr:y>
    </cdr:from>
    <cdr:to>
      <cdr:x>0.76239</cdr:x>
      <cdr:y>0.12271</cdr:y>
    </cdr:to>
    <cdr:cxnSp macro="">
      <cdr:nvCxnSpPr>
        <cdr:cNvPr id="3" name="Straight Connector 2">
          <a:extLst xmlns:a="http://schemas.openxmlformats.org/drawingml/2006/main">
            <a:ext uri="{FF2B5EF4-FFF2-40B4-BE49-F238E27FC236}">
              <a16:creationId xmlns:a16="http://schemas.microsoft.com/office/drawing/2014/main" id="{EDAA7874-FB01-4796-98CF-165DE0131EF5}"/>
            </a:ext>
          </a:extLst>
        </cdr:cNvPr>
        <cdr:cNvCxnSpPr/>
      </cdr:nvCxnSpPr>
      <cdr:spPr>
        <a:xfrm xmlns:a="http://schemas.openxmlformats.org/drawingml/2006/main">
          <a:off x="4640885" y="420442"/>
          <a:ext cx="401387" cy="0"/>
        </a:xfrm>
        <a:prstGeom xmlns:a="http://schemas.openxmlformats.org/drawingml/2006/main" prst="line">
          <a:avLst/>
        </a:prstGeom>
        <a:ln xmlns:a="http://schemas.openxmlformats.org/drawingml/2006/main" w="19050">
          <a:solidFill>
            <a:schemeClr val="tx1">
              <a:lumMod val="65000"/>
              <a:lumOff val="35000"/>
            </a:schemeClr>
          </a:solidFill>
        </a:ln>
        <a:effectLst xmlns:a="http://schemas.openxmlformats.org/drawingml/2006/main">
          <a:glow rad="25400">
            <a:schemeClr val="tx1">
              <a:lumMod val="65000"/>
              <a:lumOff val="35000"/>
              <a:alpha val="21000"/>
            </a:scheme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41</xdr:row>
      <xdr:rowOff>33131</xdr:rowOff>
    </xdr:from>
    <xdr:to>
      <xdr:col>5</xdr:col>
      <xdr:colOff>25240</xdr:colOff>
      <xdr:row>56</xdr:row>
      <xdr:rowOff>71635</xdr:rowOff>
    </xdr:to>
    <xdr:pic>
      <xdr:nvPicPr>
        <xdr:cNvPr id="2" name="Picture 1">
          <a:extLst>
            <a:ext uri="{FF2B5EF4-FFF2-40B4-BE49-F238E27FC236}">
              <a16:creationId xmlns:a16="http://schemas.microsoft.com/office/drawing/2014/main" id="{700A0689-0E56-8E03-A468-76C9B08AEC76}"/>
            </a:ext>
          </a:extLst>
        </xdr:cNvPr>
        <xdr:cNvPicPr>
          <a:picLocks noChangeAspect="1"/>
        </xdr:cNvPicPr>
      </xdr:nvPicPr>
      <xdr:blipFill>
        <a:blip xmlns:r="http://schemas.openxmlformats.org/officeDocument/2006/relationships" r:embed="rId1"/>
        <a:stretch>
          <a:fillRect/>
        </a:stretch>
      </xdr:blipFill>
      <xdr:spPr>
        <a:xfrm>
          <a:off x="0" y="8597348"/>
          <a:ext cx="5772956" cy="2896004"/>
        </a:xfrm>
        <a:prstGeom prst="rect">
          <a:avLst/>
        </a:prstGeom>
      </xdr:spPr>
    </xdr:pic>
    <xdr:clientData/>
  </xdr:twoCellAnchor>
  <xdr:twoCellAnchor editAs="oneCell">
    <xdr:from>
      <xdr:col>0</xdr:col>
      <xdr:colOff>0</xdr:colOff>
      <xdr:row>59</xdr:row>
      <xdr:rowOff>130173</xdr:rowOff>
    </xdr:from>
    <xdr:to>
      <xdr:col>6</xdr:col>
      <xdr:colOff>1292225</xdr:colOff>
      <xdr:row>95</xdr:row>
      <xdr:rowOff>141535</xdr:rowOff>
    </xdr:to>
    <xdr:pic>
      <xdr:nvPicPr>
        <xdr:cNvPr id="3" name="Picture 2">
          <a:extLst>
            <a:ext uri="{FF2B5EF4-FFF2-40B4-BE49-F238E27FC236}">
              <a16:creationId xmlns:a16="http://schemas.microsoft.com/office/drawing/2014/main" id="{811955F8-FDBF-E2E2-C254-ED2D9E0D17AC}"/>
            </a:ext>
          </a:extLst>
        </xdr:cNvPr>
        <xdr:cNvPicPr>
          <a:picLocks noChangeAspect="1"/>
        </xdr:cNvPicPr>
      </xdr:nvPicPr>
      <xdr:blipFill>
        <a:blip xmlns:r="http://schemas.openxmlformats.org/officeDocument/2006/relationships" r:embed="rId2"/>
        <a:stretch>
          <a:fillRect/>
        </a:stretch>
      </xdr:blipFill>
      <xdr:spPr>
        <a:xfrm>
          <a:off x="0" y="12338048"/>
          <a:ext cx="8334375" cy="7409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2159808</xdr:colOff>
      <xdr:row>18</xdr:row>
      <xdr:rowOff>22031</xdr:rowOff>
    </xdr:from>
    <xdr:to>
      <xdr:col>1</xdr:col>
      <xdr:colOff>3472793</xdr:colOff>
      <xdr:row>18</xdr:row>
      <xdr:rowOff>1261241</xdr:rowOff>
    </xdr:to>
    <xdr:sp macro="" textlink="">
      <xdr:nvSpPr>
        <xdr:cNvPr id="4" name="Rectangle 3">
          <a:extLst>
            <a:ext uri="{FF2B5EF4-FFF2-40B4-BE49-F238E27FC236}">
              <a16:creationId xmlns:a16="http://schemas.microsoft.com/office/drawing/2014/main" id="{9A87184A-2257-7A13-B071-BC98BFC6100B}"/>
            </a:ext>
          </a:extLst>
        </xdr:cNvPr>
        <xdr:cNvSpPr/>
      </xdr:nvSpPr>
      <xdr:spPr>
        <a:xfrm>
          <a:off x="2159808" y="10952790"/>
          <a:ext cx="3923054" cy="123921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NZ"/>
        </a:p>
      </xdr:txBody>
    </xdr:sp>
    <xdr:clientData/>
  </xdr:twoCellAnchor>
  <xdr:twoCellAnchor>
    <xdr:from>
      <xdr:col>0</xdr:col>
      <xdr:colOff>2126974</xdr:colOff>
      <xdr:row>40</xdr:row>
      <xdr:rowOff>33130</xdr:rowOff>
    </xdr:from>
    <xdr:to>
      <xdr:col>1</xdr:col>
      <xdr:colOff>505294</xdr:colOff>
      <xdr:row>40</xdr:row>
      <xdr:rowOff>1442830</xdr:rowOff>
    </xdr:to>
    <xdr:sp macro="" textlink="">
      <xdr:nvSpPr>
        <xdr:cNvPr id="8" name="Rectangle 7">
          <a:extLst>
            <a:ext uri="{FF2B5EF4-FFF2-40B4-BE49-F238E27FC236}">
              <a16:creationId xmlns:a16="http://schemas.microsoft.com/office/drawing/2014/main" id="{5375C1B6-66DD-6956-1291-515FE6B1BFB2}"/>
            </a:ext>
          </a:extLst>
        </xdr:cNvPr>
        <xdr:cNvSpPr/>
      </xdr:nvSpPr>
      <xdr:spPr>
        <a:xfrm>
          <a:off x="2126974" y="15312887"/>
          <a:ext cx="935990" cy="14097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NZ"/>
        </a:p>
      </xdr:txBody>
    </xdr:sp>
    <xdr:clientData/>
  </xdr:twoCellAnchor>
  <xdr:twoCellAnchor>
    <xdr:from>
      <xdr:col>1</xdr:col>
      <xdr:colOff>536713</xdr:colOff>
      <xdr:row>49</xdr:row>
      <xdr:rowOff>26505</xdr:rowOff>
    </xdr:from>
    <xdr:to>
      <xdr:col>1</xdr:col>
      <xdr:colOff>2411895</xdr:colOff>
      <xdr:row>49</xdr:row>
      <xdr:rowOff>1444487</xdr:rowOff>
    </xdr:to>
    <xdr:sp macro="" textlink="">
      <xdr:nvSpPr>
        <xdr:cNvPr id="10" name="Rectangle 9">
          <a:extLst>
            <a:ext uri="{FF2B5EF4-FFF2-40B4-BE49-F238E27FC236}">
              <a16:creationId xmlns:a16="http://schemas.microsoft.com/office/drawing/2014/main" id="{DBCAC55D-74FA-4557-9FB5-4E4817674CC0}"/>
            </a:ext>
          </a:extLst>
        </xdr:cNvPr>
        <xdr:cNvSpPr/>
      </xdr:nvSpPr>
      <xdr:spPr>
        <a:xfrm>
          <a:off x="3094383" y="18559670"/>
          <a:ext cx="1875182" cy="141798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NZ"/>
        </a:p>
      </xdr:txBody>
    </xdr:sp>
    <xdr:clientData/>
  </xdr:twoCellAnchor>
  <xdr:twoCellAnchor>
    <xdr:from>
      <xdr:col>0</xdr:col>
      <xdr:colOff>1501160</xdr:colOff>
      <xdr:row>63</xdr:row>
      <xdr:rowOff>301570</xdr:rowOff>
    </xdr:from>
    <xdr:to>
      <xdr:col>1</xdr:col>
      <xdr:colOff>856391</xdr:colOff>
      <xdr:row>63</xdr:row>
      <xdr:rowOff>1255988</xdr:rowOff>
    </xdr:to>
    <xdr:sp macro="" textlink="">
      <xdr:nvSpPr>
        <xdr:cNvPr id="15" name="Rectangle 14">
          <a:extLst>
            <a:ext uri="{FF2B5EF4-FFF2-40B4-BE49-F238E27FC236}">
              <a16:creationId xmlns:a16="http://schemas.microsoft.com/office/drawing/2014/main" id="{212EF188-1FC1-07F6-0FFC-2FC3532D73A0}"/>
            </a:ext>
          </a:extLst>
        </xdr:cNvPr>
        <xdr:cNvSpPr/>
      </xdr:nvSpPr>
      <xdr:spPr>
        <a:xfrm>
          <a:off x="1501160" y="31343873"/>
          <a:ext cx="1914500" cy="9544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NZ"/>
        </a:p>
      </xdr:txBody>
    </xdr:sp>
    <xdr:clientData/>
  </xdr:twoCellAnchor>
  <xdr:twoCellAnchor>
    <xdr:from>
      <xdr:col>0</xdr:col>
      <xdr:colOff>1024760</xdr:colOff>
      <xdr:row>63</xdr:row>
      <xdr:rowOff>1264681</xdr:rowOff>
    </xdr:from>
    <xdr:to>
      <xdr:col>1</xdr:col>
      <xdr:colOff>3421927</xdr:colOff>
      <xdr:row>64</xdr:row>
      <xdr:rowOff>0</xdr:rowOff>
    </xdr:to>
    <xdr:sp macro="" textlink="">
      <xdr:nvSpPr>
        <xdr:cNvPr id="3" name="Rectangle 2">
          <a:extLst>
            <a:ext uri="{FF2B5EF4-FFF2-40B4-BE49-F238E27FC236}">
              <a16:creationId xmlns:a16="http://schemas.microsoft.com/office/drawing/2014/main" id="{951B622D-B0BD-4AB4-AC46-B529CCA013BE}"/>
            </a:ext>
          </a:extLst>
        </xdr:cNvPr>
        <xdr:cNvSpPr/>
      </xdr:nvSpPr>
      <xdr:spPr>
        <a:xfrm>
          <a:off x="1024760" y="32306984"/>
          <a:ext cx="4956436" cy="34340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NZ"/>
        </a:p>
      </xdr:txBody>
    </xdr:sp>
    <xdr:clientData/>
  </xdr:twoCellAnchor>
  <xdr:twoCellAnchor>
    <xdr:from>
      <xdr:col>1</xdr:col>
      <xdr:colOff>1354015</xdr:colOff>
      <xdr:row>63</xdr:row>
      <xdr:rowOff>296919</xdr:rowOff>
    </xdr:from>
    <xdr:to>
      <xdr:col>1</xdr:col>
      <xdr:colOff>3417277</xdr:colOff>
      <xdr:row>63</xdr:row>
      <xdr:rowOff>1269936</xdr:rowOff>
    </xdr:to>
    <xdr:sp macro="" textlink="">
      <xdr:nvSpPr>
        <xdr:cNvPr id="5" name="Rectangle 4">
          <a:extLst>
            <a:ext uri="{FF2B5EF4-FFF2-40B4-BE49-F238E27FC236}">
              <a16:creationId xmlns:a16="http://schemas.microsoft.com/office/drawing/2014/main" id="{42626134-0AA7-480E-8386-3F5178FF5649}"/>
            </a:ext>
          </a:extLst>
        </xdr:cNvPr>
        <xdr:cNvSpPr/>
      </xdr:nvSpPr>
      <xdr:spPr>
        <a:xfrm>
          <a:off x="3913284" y="31339222"/>
          <a:ext cx="2063262" cy="9730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NZ"/>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34</xdr:col>
      <xdr:colOff>1369558</xdr:colOff>
      <xdr:row>45</xdr:row>
      <xdr:rowOff>46944</xdr:rowOff>
    </xdr:from>
    <xdr:to>
      <xdr:col>40</xdr:col>
      <xdr:colOff>1406622</xdr:colOff>
      <xdr:row>59</xdr:row>
      <xdr:rowOff>110586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5823746" y="10286319"/>
          <a:ext cx="6274986" cy="2719212"/>
        </a:xfrm>
        <a:prstGeom prst="rect">
          <a:avLst/>
        </a:prstGeom>
      </xdr:spPr>
    </xdr:pic>
    <xdr:clientData/>
  </xdr:twoCellAnchor>
  <xdr:twoCellAnchor editAs="oneCell">
    <xdr:from>
      <xdr:col>44</xdr:col>
      <xdr:colOff>114301</xdr:colOff>
      <xdr:row>43</xdr:row>
      <xdr:rowOff>152400</xdr:rowOff>
    </xdr:from>
    <xdr:to>
      <xdr:col>50</xdr:col>
      <xdr:colOff>223839</xdr:colOff>
      <xdr:row>64</xdr:row>
      <xdr:rowOff>110490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val="0"/>
            </a:ext>
          </a:extLst>
        </a:blip>
        <a:srcRect/>
        <a:stretch>
          <a:fillRect/>
        </a:stretch>
      </xdr:blipFill>
      <xdr:spPr bwMode="auto">
        <a:xfrm>
          <a:off x="23879176" y="10010775"/>
          <a:ext cx="3822382" cy="3930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1447800</xdr:colOff>
      <xdr:row>40</xdr:row>
      <xdr:rowOff>38100</xdr:rowOff>
    </xdr:from>
    <xdr:to>
      <xdr:col>18</xdr:col>
      <xdr:colOff>1063200</xdr:colOff>
      <xdr:row>75</xdr:row>
      <xdr:rowOff>72502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77100" y="9601200"/>
          <a:ext cx="10683450" cy="67019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67</xdr:row>
      <xdr:rowOff>51542</xdr:rowOff>
    </xdr:from>
    <xdr:to>
      <xdr:col>8</xdr:col>
      <xdr:colOff>313592</xdr:colOff>
      <xdr:row>111</xdr:row>
      <xdr:rowOff>108694</xdr:rowOff>
    </xdr:to>
    <xdr:pic>
      <xdr:nvPicPr>
        <xdr:cNvPr id="2" name="Picture 1">
          <a:extLst>
            <a:ext uri="{FF2B5EF4-FFF2-40B4-BE49-F238E27FC236}">
              <a16:creationId xmlns:a16="http://schemas.microsoft.com/office/drawing/2014/main" id="{E96A4576-A60A-4596-944E-5D4E2DC2A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990" y="20450282"/>
          <a:ext cx="7236362" cy="8180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4626</xdr:colOff>
      <xdr:row>15</xdr:row>
      <xdr:rowOff>190501</xdr:rowOff>
    </xdr:from>
    <xdr:to>
      <xdr:col>15</xdr:col>
      <xdr:colOff>3810</xdr:colOff>
      <xdr:row>36</xdr:row>
      <xdr:rowOff>7798</xdr:rowOff>
    </xdr:to>
    <xdr:grpSp>
      <xdr:nvGrpSpPr>
        <xdr:cNvPr id="3" name="Group 2">
          <a:extLst>
            <a:ext uri="{FF2B5EF4-FFF2-40B4-BE49-F238E27FC236}">
              <a16:creationId xmlns:a16="http://schemas.microsoft.com/office/drawing/2014/main" id="{1EFE6B44-DAED-49E0-B844-E824539C94C0}"/>
            </a:ext>
          </a:extLst>
        </xdr:cNvPr>
        <xdr:cNvGrpSpPr/>
      </xdr:nvGrpSpPr>
      <xdr:grpSpPr>
        <a:xfrm>
          <a:off x="6875326" y="2019301"/>
          <a:ext cx="6761934" cy="4725847"/>
          <a:chOff x="7251246" y="2070929"/>
          <a:chExt cx="6464754" cy="3938140"/>
        </a:xfrm>
      </xdr:grpSpPr>
      <xdr:grpSp>
        <xdr:nvGrpSpPr>
          <xdr:cNvPr id="4" name="Group 3">
            <a:extLst>
              <a:ext uri="{FF2B5EF4-FFF2-40B4-BE49-F238E27FC236}">
                <a16:creationId xmlns:a16="http://schemas.microsoft.com/office/drawing/2014/main" id="{896F3CB5-81E7-73E3-E973-3857C64AD82C}"/>
              </a:ext>
            </a:extLst>
          </xdr:cNvPr>
          <xdr:cNvGrpSpPr/>
        </xdr:nvGrpSpPr>
        <xdr:grpSpPr>
          <a:xfrm>
            <a:off x="7251246" y="2070929"/>
            <a:ext cx="6464754" cy="3938140"/>
            <a:chOff x="6861007" y="1289012"/>
            <a:chExt cx="7782833" cy="4159288"/>
          </a:xfrm>
        </xdr:grpSpPr>
        <xdr:grpSp>
          <xdr:nvGrpSpPr>
            <xdr:cNvPr id="6" name="Group 5">
              <a:extLst>
                <a:ext uri="{FF2B5EF4-FFF2-40B4-BE49-F238E27FC236}">
                  <a16:creationId xmlns:a16="http://schemas.microsoft.com/office/drawing/2014/main" id="{39FC6029-7A09-159F-DC25-AC46D9AA2815}"/>
                </a:ext>
              </a:extLst>
            </xdr:cNvPr>
            <xdr:cNvGrpSpPr/>
          </xdr:nvGrpSpPr>
          <xdr:grpSpPr>
            <a:xfrm>
              <a:off x="6861007" y="1289012"/>
              <a:ext cx="7782833" cy="4159288"/>
              <a:chOff x="7775996" y="1255978"/>
              <a:chExt cx="4850818" cy="4533242"/>
            </a:xfrm>
          </xdr:grpSpPr>
          <xdr:graphicFrame macro="">
            <xdr:nvGraphicFramePr>
              <xdr:cNvPr id="12" name="Chart 11">
                <a:extLst>
                  <a:ext uri="{FF2B5EF4-FFF2-40B4-BE49-F238E27FC236}">
                    <a16:creationId xmlns:a16="http://schemas.microsoft.com/office/drawing/2014/main" id="{B9F538D0-EDE6-AFF3-2942-B5BBB10D5C49}"/>
                  </a:ext>
                </a:extLst>
              </xdr:cNvPr>
              <xdr:cNvGraphicFramePr>
                <a:graphicFrameLocks noChangeAspect="1"/>
              </xdr:cNvGraphicFramePr>
            </xdr:nvGraphicFramePr>
            <xdr:xfrm>
              <a:off x="7775996" y="1255978"/>
              <a:ext cx="4850818" cy="4533242"/>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3" name="Group 12">
                <a:extLst>
                  <a:ext uri="{FF2B5EF4-FFF2-40B4-BE49-F238E27FC236}">
                    <a16:creationId xmlns:a16="http://schemas.microsoft.com/office/drawing/2014/main" id="{BF23C24D-9EBA-7F16-126E-2BA8983D2C16}"/>
                  </a:ext>
                </a:extLst>
              </xdr:cNvPr>
              <xdr:cNvGrpSpPr/>
            </xdr:nvGrpSpPr>
            <xdr:grpSpPr>
              <a:xfrm>
                <a:off x="8627958" y="1648631"/>
                <a:ext cx="3599894" cy="670065"/>
                <a:chOff x="6307860" y="1208321"/>
                <a:chExt cx="3878003" cy="655346"/>
              </a:xfrm>
            </xdr:grpSpPr>
            <xdr:sp macro="" textlink="">
              <xdr:nvSpPr>
                <xdr:cNvPr id="21" name="Rectangle 20">
                  <a:extLst>
                    <a:ext uri="{FF2B5EF4-FFF2-40B4-BE49-F238E27FC236}">
                      <a16:creationId xmlns:a16="http://schemas.microsoft.com/office/drawing/2014/main" id="{828DCDB2-D4EB-DC96-E996-FF919C25D070}"/>
                    </a:ext>
                  </a:extLst>
                </xdr:cNvPr>
                <xdr:cNvSpPr/>
              </xdr:nvSpPr>
              <xdr:spPr>
                <a:xfrm>
                  <a:off x="6307860" y="1373149"/>
                  <a:ext cx="376568" cy="231927"/>
                </a:xfrm>
                <a:prstGeom prst="rect">
                  <a:avLst/>
                </a:prstGeom>
                <a:solidFill>
                  <a:schemeClr val="accent1">
                    <a:alpha val="76000"/>
                  </a:schemeClr>
                </a:solidFill>
                <a:ln w="9525">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NZ" sz="1100"/>
                </a:p>
              </xdr:txBody>
            </xdr:sp>
            <xdr:sp macro="" textlink="">
              <xdr:nvSpPr>
                <xdr:cNvPr id="22" name="TextBox 21">
                  <a:extLst>
                    <a:ext uri="{FF2B5EF4-FFF2-40B4-BE49-F238E27FC236}">
                      <a16:creationId xmlns:a16="http://schemas.microsoft.com/office/drawing/2014/main" id="{90162F76-C267-9E5F-2DE1-A25995FF9281}"/>
                    </a:ext>
                  </a:extLst>
                </xdr:cNvPr>
                <xdr:cNvSpPr txBox="1"/>
              </xdr:nvSpPr>
              <xdr:spPr>
                <a:xfrm>
                  <a:off x="6678023" y="1268393"/>
                  <a:ext cx="772871" cy="57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a:solidFill>
                        <a:schemeClr val="tx1">
                          <a:lumMod val="65000"/>
                          <a:lumOff val="35000"/>
                        </a:schemeClr>
                      </a:solidFill>
                      <a:latin typeface="Gotham Narrow Light" pitchFamily="50" charset="0"/>
                    </a:rPr>
                    <a:t>Observed Loss</a:t>
                  </a:r>
                </a:p>
              </xdr:txBody>
            </xdr:sp>
            <xdr:sp macro="" textlink="">
              <xdr:nvSpPr>
                <xdr:cNvPr id="23" name="TextBox 22">
                  <a:extLst>
                    <a:ext uri="{FF2B5EF4-FFF2-40B4-BE49-F238E27FC236}">
                      <a16:creationId xmlns:a16="http://schemas.microsoft.com/office/drawing/2014/main" id="{DBFE6376-E3F9-7EA8-5524-BF63D7EB32D2}"/>
                    </a:ext>
                  </a:extLst>
                </xdr:cNvPr>
                <xdr:cNvSpPr txBox="1"/>
              </xdr:nvSpPr>
              <xdr:spPr>
                <a:xfrm>
                  <a:off x="8006592" y="1208321"/>
                  <a:ext cx="1066262" cy="655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a:solidFill>
                        <a:schemeClr val="tx1">
                          <a:lumMod val="65000"/>
                          <a:lumOff val="35000"/>
                        </a:schemeClr>
                      </a:solidFill>
                      <a:latin typeface="Gotham Narrow Light" pitchFamily="50" charset="0"/>
                    </a:rPr>
                    <a:t>Preferred LOS</a:t>
                  </a:r>
                </a:p>
                <a:p>
                  <a:endParaRPr lang="en-NZ" sz="400">
                    <a:solidFill>
                      <a:schemeClr val="tx1">
                        <a:lumMod val="65000"/>
                        <a:lumOff val="35000"/>
                      </a:schemeClr>
                    </a:solidFill>
                    <a:latin typeface="Gotham Narrow Light" pitchFamily="50" charset="0"/>
                  </a:endParaRPr>
                </a:p>
                <a:p>
                  <a:r>
                    <a:rPr lang="en-NZ" sz="1200">
                      <a:solidFill>
                        <a:schemeClr val="tx1">
                          <a:lumMod val="65000"/>
                          <a:lumOff val="35000"/>
                        </a:schemeClr>
                      </a:solidFill>
                      <a:latin typeface="Gotham Narrow Light" pitchFamily="50" charset="0"/>
                    </a:rPr>
                    <a:t>Acceptable LOS</a:t>
                  </a:r>
                </a:p>
              </xdr:txBody>
            </xdr:sp>
            <xdr:sp macro="" textlink="">
              <xdr:nvSpPr>
                <xdr:cNvPr id="24" name="TextBox 23">
                  <a:extLst>
                    <a:ext uri="{FF2B5EF4-FFF2-40B4-BE49-F238E27FC236}">
                      <a16:creationId xmlns:a16="http://schemas.microsoft.com/office/drawing/2014/main" id="{BE4BB68A-F8F6-56AC-52BB-F7BDBA3E6754}"/>
                    </a:ext>
                  </a:extLst>
                </xdr:cNvPr>
                <xdr:cNvSpPr txBox="1"/>
              </xdr:nvSpPr>
              <xdr:spPr>
                <a:xfrm>
                  <a:off x="9419094" y="1269487"/>
                  <a:ext cx="766769" cy="532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200">
                      <a:solidFill>
                        <a:schemeClr val="tx1">
                          <a:lumMod val="65000"/>
                          <a:lumOff val="35000"/>
                        </a:schemeClr>
                      </a:solidFill>
                      <a:latin typeface="Gotham Narrow Light" pitchFamily="50" charset="0"/>
                    </a:rPr>
                    <a:t>Project Impact</a:t>
                  </a:r>
                </a:p>
              </xdr:txBody>
            </xdr:sp>
            <xdr:cxnSp macro="">
              <xdr:nvCxnSpPr>
                <xdr:cNvPr id="25" name="Straight Arrow Connector 24">
                  <a:extLst>
                    <a:ext uri="{FF2B5EF4-FFF2-40B4-BE49-F238E27FC236}">
                      <a16:creationId xmlns:a16="http://schemas.microsoft.com/office/drawing/2014/main" id="{14B013DC-DA52-0331-88B8-83547765E05F}"/>
                    </a:ext>
                  </a:extLst>
                </xdr:cNvPr>
                <xdr:cNvCxnSpPr/>
              </xdr:nvCxnSpPr>
              <xdr:spPr>
                <a:xfrm flipV="1">
                  <a:off x="9225704" y="1400752"/>
                  <a:ext cx="0" cy="256441"/>
                </a:xfrm>
                <a:prstGeom prst="straightConnector1">
                  <a:avLst/>
                </a:prstGeom>
                <a:ln w="38100">
                  <a:solidFill>
                    <a:schemeClr val="tx1">
                      <a:lumMod val="65000"/>
                      <a:lumOff val="35000"/>
                    </a:schemeClr>
                  </a:solidFill>
                  <a:tailEnd type="arrow"/>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grpSp>
            <xdr:nvGrpSpPr>
              <xdr:cNvPr id="14" name="Group 13">
                <a:extLst>
                  <a:ext uri="{FF2B5EF4-FFF2-40B4-BE49-F238E27FC236}">
                    <a16:creationId xmlns:a16="http://schemas.microsoft.com/office/drawing/2014/main" id="{4EACCF89-DED0-6683-C1E3-AD39A5924D26}"/>
                  </a:ext>
                </a:extLst>
              </xdr:cNvPr>
              <xdr:cNvGrpSpPr/>
            </xdr:nvGrpSpPr>
            <xdr:grpSpPr>
              <a:xfrm>
                <a:off x="8309079" y="2518844"/>
                <a:ext cx="272421" cy="2203498"/>
                <a:chOff x="6278604" y="2620409"/>
                <a:chExt cx="282147" cy="2094318"/>
              </a:xfrm>
            </xdr:grpSpPr>
            <xdr:sp macro="" textlink="">
              <xdr:nvSpPr>
                <xdr:cNvPr id="15" name="TextBox 14">
                  <a:extLst>
                    <a:ext uri="{FF2B5EF4-FFF2-40B4-BE49-F238E27FC236}">
                      <a16:creationId xmlns:a16="http://schemas.microsoft.com/office/drawing/2014/main" id="{28344071-7D1A-0E79-C25F-C7F5B0D73026}"/>
                    </a:ext>
                  </a:extLst>
                </xdr:cNvPr>
                <xdr:cNvSpPr txBox="1"/>
              </xdr:nvSpPr>
              <xdr:spPr>
                <a:xfrm>
                  <a:off x="6278605" y="2620409"/>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A</a:t>
                  </a:r>
                </a:p>
              </xdr:txBody>
            </xdr:sp>
            <xdr:sp macro="" textlink="">
              <xdr:nvSpPr>
                <xdr:cNvPr id="16" name="TextBox 15">
                  <a:extLst>
                    <a:ext uri="{FF2B5EF4-FFF2-40B4-BE49-F238E27FC236}">
                      <a16:creationId xmlns:a16="http://schemas.microsoft.com/office/drawing/2014/main" id="{E42611E2-F9E6-1B48-534D-5121E4B1AA57}"/>
                    </a:ext>
                  </a:extLst>
                </xdr:cNvPr>
                <xdr:cNvSpPr txBox="1"/>
              </xdr:nvSpPr>
              <xdr:spPr>
                <a:xfrm>
                  <a:off x="6278606" y="3003159"/>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B</a:t>
                  </a:r>
                </a:p>
              </xdr:txBody>
            </xdr:sp>
            <xdr:sp macro="" textlink="">
              <xdr:nvSpPr>
                <xdr:cNvPr id="17" name="TextBox 16">
                  <a:extLst>
                    <a:ext uri="{FF2B5EF4-FFF2-40B4-BE49-F238E27FC236}">
                      <a16:creationId xmlns:a16="http://schemas.microsoft.com/office/drawing/2014/main" id="{87988FD5-B600-1EF3-9C50-65A65AC1CF6C}"/>
                    </a:ext>
                  </a:extLst>
                </xdr:cNvPr>
                <xdr:cNvSpPr txBox="1"/>
              </xdr:nvSpPr>
              <xdr:spPr>
                <a:xfrm>
                  <a:off x="6278604" y="3366630"/>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C</a:t>
                  </a:r>
                </a:p>
              </xdr:txBody>
            </xdr:sp>
            <xdr:sp macro="" textlink="">
              <xdr:nvSpPr>
                <xdr:cNvPr id="18" name="TextBox 17">
                  <a:extLst>
                    <a:ext uri="{FF2B5EF4-FFF2-40B4-BE49-F238E27FC236}">
                      <a16:creationId xmlns:a16="http://schemas.microsoft.com/office/drawing/2014/main" id="{13BAD1EF-3B7A-F66C-A12C-DF16345A6ED9}"/>
                    </a:ext>
                  </a:extLst>
                </xdr:cNvPr>
                <xdr:cNvSpPr txBox="1"/>
              </xdr:nvSpPr>
              <xdr:spPr>
                <a:xfrm>
                  <a:off x="6284526" y="3738241"/>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D</a:t>
                  </a:r>
                </a:p>
              </xdr:txBody>
            </xdr:sp>
            <xdr:sp macro="" textlink="">
              <xdr:nvSpPr>
                <xdr:cNvPr id="19" name="TextBox 18">
                  <a:extLst>
                    <a:ext uri="{FF2B5EF4-FFF2-40B4-BE49-F238E27FC236}">
                      <a16:creationId xmlns:a16="http://schemas.microsoft.com/office/drawing/2014/main" id="{33702D74-2013-7926-3AD7-40BB5ADA7647}"/>
                    </a:ext>
                  </a:extLst>
                </xdr:cNvPr>
                <xdr:cNvSpPr txBox="1"/>
              </xdr:nvSpPr>
              <xdr:spPr>
                <a:xfrm>
                  <a:off x="6278605" y="4090261"/>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E</a:t>
                  </a:r>
                </a:p>
              </xdr:txBody>
            </xdr:sp>
            <xdr:sp macro="" textlink="">
              <xdr:nvSpPr>
                <xdr:cNvPr id="20" name="TextBox 19">
                  <a:extLst>
                    <a:ext uri="{FF2B5EF4-FFF2-40B4-BE49-F238E27FC236}">
                      <a16:creationId xmlns:a16="http://schemas.microsoft.com/office/drawing/2014/main" id="{E930821B-F7AA-B5CD-C492-D74AA26C3589}"/>
                    </a:ext>
                  </a:extLst>
                </xdr:cNvPr>
                <xdr:cNvSpPr txBox="1"/>
              </xdr:nvSpPr>
              <xdr:spPr>
                <a:xfrm>
                  <a:off x="6280087" y="4457552"/>
                  <a:ext cx="2762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NZ" sz="1100">
                      <a:solidFill>
                        <a:schemeClr val="tx1">
                          <a:lumMod val="65000"/>
                          <a:lumOff val="35000"/>
                        </a:schemeClr>
                      </a:solidFill>
                      <a:latin typeface="Gotham Narrow Light" pitchFamily="50" charset="0"/>
                    </a:rPr>
                    <a:t>F</a:t>
                  </a:r>
                </a:p>
              </xdr:txBody>
            </xdr:sp>
          </xdr:grpSp>
        </xdr:grpSp>
        <xdr:pic>
          <xdr:nvPicPr>
            <xdr:cNvPr id="7" name="Graphic 18" descr="Truck with solid fill">
              <a:extLst>
                <a:ext uri="{FF2B5EF4-FFF2-40B4-BE49-F238E27FC236}">
                  <a16:creationId xmlns:a16="http://schemas.microsoft.com/office/drawing/2014/main" id="{761B8D3E-C095-FDD5-EAFC-B51A230608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071450" y="4856105"/>
              <a:ext cx="651828" cy="497710"/>
            </a:xfrm>
            <a:prstGeom prst="rect">
              <a:avLst/>
            </a:prstGeom>
          </xdr:spPr>
        </xdr:pic>
        <xdr:pic>
          <xdr:nvPicPr>
            <xdr:cNvPr id="8" name="Graphic 20" descr="Bus with solid fill">
              <a:extLst>
                <a:ext uri="{FF2B5EF4-FFF2-40B4-BE49-F238E27FC236}">
                  <a16:creationId xmlns:a16="http://schemas.microsoft.com/office/drawing/2014/main" id="{38C3C3EE-5431-1322-8DE2-D01D05B2D86A}"/>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0840744" y="4841891"/>
              <a:ext cx="651828" cy="497710"/>
            </a:xfrm>
            <a:prstGeom prst="rect">
              <a:avLst/>
            </a:prstGeom>
          </xdr:spPr>
        </xdr:pic>
        <xdr:pic>
          <xdr:nvPicPr>
            <xdr:cNvPr id="9" name="Graphic 22" descr="Car with solid fill">
              <a:extLst>
                <a:ext uri="{FF2B5EF4-FFF2-40B4-BE49-F238E27FC236}">
                  <a16:creationId xmlns:a16="http://schemas.microsoft.com/office/drawing/2014/main" id="{FEFB3306-A1CF-8868-2658-552F49C30B5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257896" y="4881212"/>
              <a:ext cx="651828" cy="497710"/>
            </a:xfrm>
            <a:prstGeom prst="rect">
              <a:avLst/>
            </a:prstGeom>
          </xdr:spPr>
        </xdr:pic>
        <xdr:pic>
          <xdr:nvPicPr>
            <xdr:cNvPr id="10" name="Graphic 24" descr="Cycling with solid fill">
              <a:extLst>
                <a:ext uri="{FF2B5EF4-FFF2-40B4-BE49-F238E27FC236}">
                  <a16:creationId xmlns:a16="http://schemas.microsoft.com/office/drawing/2014/main" id="{B373FD0F-E850-31B9-EC94-B5D0488BA1FB}"/>
                </a:ext>
              </a:extLst>
            </xdr:cNvPr>
            <xdr:cNvPicPr>
              <a:picLocks/>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9649417" y="4847733"/>
              <a:ext cx="651828" cy="497710"/>
            </a:xfrm>
            <a:prstGeom prst="rect">
              <a:avLst/>
            </a:prstGeom>
          </xdr:spPr>
        </xdr:pic>
        <xdr:pic>
          <xdr:nvPicPr>
            <xdr:cNvPr id="11" name="Graphic 26" descr="Walk with solid fill">
              <a:extLst>
                <a:ext uri="{FF2B5EF4-FFF2-40B4-BE49-F238E27FC236}">
                  <a16:creationId xmlns:a16="http://schemas.microsoft.com/office/drawing/2014/main" id="{EFD55AA0-35E1-C3F6-2362-9176A774F100}"/>
                </a:ext>
              </a:extLst>
            </xdr:cNvPr>
            <xdr:cNvPicPr>
              <a:picLocks/>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8444923" y="4806315"/>
              <a:ext cx="651828" cy="497710"/>
            </a:xfrm>
            <a:prstGeom prst="rect">
              <a:avLst/>
            </a:prstGeom>
          </xdr:spPr>
        </xdr:pic>
      </xdr:grpSp>
      <xdr:sp macro="" textlink="">
        <xdr:nvSpPr>
          <xdr:cNvPr id="5" name="TextBox 4">
            <a:extLst>
              <a:ext uri="{FF2B5EF4-FFF2-40B4-BE49-F238E27FC236}">
                <a16:creationId xmlns:a16="http://schemas.microsoft.com/office/drawing/2014/main" id="{E404D679-423A-DE77-1E59-7BC0D62F6B9C}"/>
              </a:ext>
            </a:extLst>
          </xdr:cNvPr>
          <xdr:cNvSpPr txBox="1"/>
        </xdr:nvSpPr>
        <xdr:spPr>
          <a:xfrm>
            <a:off x="7410732" y="3728576"/>
            <a:ext cx="628650" cy="745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solidFill>
                  <a:schemeClr val="tx1">
                    <a:lumMod val="65000"/>
                    <a:lumOff val="35000"/>
                  </a:schemeClr>
                </a:solidFill>
                <a:latin typeface="Gotham Narrow Light" pitchFamily="50" charset="0"/>
              </a:rPr>
              <a:t>Level of Service</a:t>
            </a:r>
          </a:p>
        </xdr:txBody>
      </xdr:sp>
    </xdr:grpSp>
    <xdr:clientData/>
  </xdr:twoCellAnchor>
  <xdr:twoCellAnchor editAs="oneCell">
    <xdr:from>
      <xdr:col>10</xdr:col>
      <xdr:colOff>624568</xdr:colOff>
      <xdr:row>17</xdr:row>
      <xdr:rowOff>307521</xdr:rowOff>
    </xdr:from>
    <xdr:to>
      <xdr:col>11</xdr:col>
      <xdr:colOff>304582</xdr:colOff>
      <xdr:row>18</xdr:row>
      <xdr:rowOff>188236</xdr:rowOff>
    </xdr:to>
    <xdr:pic>
      <xdr:nvPicPr>
        <xdr:cNvPr id="26" name="Picture 25">
          <a:extLst>
            <a:ext uri="{FF2B5EF4-FFF2-40B4-BE49-F238E27FC236}">
              <a16:creationId xmlns:a16="http://schemas.microsoft.com/office/drawing/2014/main" id="{007AA8AD-5CF3-46EB-A829-3F57060B92B8}"/>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387568" y="6546396"/>
          <a:ext cx="737289" cy="280765"/>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0.7017</cdr:x>
      <cdr:y>0.12271</cdr:y>
    </cdr:from>
    <cdr:to>
      <cdr:x>0.76239</cdr:x>
      <cdr:y>0.12271</cdr:y>
    </cdr:to>
    <cdr:cxnSp macro="">
      <cdr:nvCxnSpPr>
        <cdr:cNvPr id="3" name="Straight Connector 2">
          <a:extLst xmlns:a="http://schemas.openxmlformats.org/drawingml/2006/main">
            <a:ext uri="{FF2B5EF4-FFF2-40B4-BE49-F238E27FC236}">
              <a16:creationId xmlns:a16="http://schemas.microsoft.com/office/drawing/2014/main" id="{EDAA7874-FB01-4796-98CF-165DE0131EF5}"/>
            </a:ext>
          </a:extLst>
        </cdr:cNvPr>
        <cdr:cNvCxnSpPr/>
      </cdr:nvCxnSpPr>
      <cdr:spPr>
        <a:xfrm xmlns:a="http://schemas.openxmlformats.org/drawingml/2006/main">
          <a:off x="4640885" y="420442"/>
          <a:ext cx="401387" cy="0"/>
        </a:xfrm>
        <a:prstGeom xmlns:a="http://schemas.openxmlformats.org/drawingml/2006/main" prst="line">
          <a:avLst/>
        </a:prstGeom>
        <a:ln xmlns:a="http://schemas.openxmlformats.org/drawingml/2006/main" w="19050">
          <a:solidFill>
            <a:schemeClr val="tx1">
              <a:lumMod val="65000"/>
              <a:lumOff val="35000"/>
            </a:schemeClr>
          </a:solidFill>
        </a:ln>
        <a:effectLst xmlns:a="http://schemas.openxmlformats.org/drawingml/2006/main">
          <a:glow rad="25400">
            <a:schemeClr val="tx1">
              <a:lumMod val="65000"/>
              <a:lumOff val="35000"/>
              <a:alpha val="21000"/>
            </a:schemeClr>
          </a:glow>
          <a:outerShdw blurRad="50800" dist="38100" dir="2700000" algn="tl" rotWithShape="0">
            <a:prstClr val="black">
              <a:alpha val="40000"/>
            </a:prstClr>
          </a:outerShdw>
        </a:effectLst>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editAs="oneCell">
    <xdr:from>
      <xdr:col>10</xdr:col>
      <xdr:colOff>323850</xdr:colOff>
      <xdr:row>3</xdr:row>
      <xdr:rowOff>28575</xdr:rowOff>
    </xdr:from>
    <xdr:to>
      <xdr:col>11</xdr:col>
      <xdr:colOff>301452</xdr:colOff>
      <xdr:row>4</xdr:row>
      <xdr:rowOff>111125</xdr:rowOff>
    </xdr:to>
    <xdr:pic>
      <xdr:nvPicPr>
        <xdr:cNvPr id="2" name="Graphic 255" descr="Walk outline">
          <a:extLst>
            <a:ext uri="{FF2B5EF4-FFF2-40B4-BE49-F238E27FC236}">
              <a16:creationId xmlns:a16="http://schemas.microsoft.com/office/drawing/2014/main" id="{299DB095-E960-4FEF-896A-FC567825556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7611725" y="1171575"/>
          <a:ext cx="587202" cy="577850"/>
        </a:xfrm>
        <a:prstGeom prst="rect">
          <a:avLst/>
        </a:prstGeom>
      </xdr:spPr>
    </xdr:pic>
    <xdr:clientData/>
  </xdr:twoCellAnchor>
  <xdr:twoCellAnchor editAs="oneCell">
    <xdr:from>
      <xdr:col>10</xdr:col>
      <xdr:colOff>247650</xdr:colOff>
      <xdr:row>5</xdr:row>
      <xdr:rowOff>85725</xdr:rowOff>
    </xdr:from>
    <xdr:to>
      <xdr:col>11</xdr:col>
      <xdr:colOff>225252</xdr:colOff>
      <xdr:row>5</xdr:row>
      <xdr:rowOff>644797</xdr:rowOff>
    </xdr:to>
    <xdr:pic>
      <xdr:nvPicPr>
        <xdr:cNvPr id="3" name="Graphic 576" descr="Cycling outline">
          <a:extLst>
            <a:ext uri="{FF2B5EF4-FFF2-40B4-BE49-F238E27FC236}">
              <a16:creationId xmlns:a16="http://schemas.microsoft.com/office/drawing/2014/main" id="{6B7F4335-AAA0-4D67-8E1D-26A3A8B1D53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535525" y="2381250"/>
          <a:ext cx="587202" cy="559072"/>
        </a:xfrm>
        <a:prstGeom prst="rect">
          <a:avLst/>
        </a:prstGeom>
      </xdr:spPr>
    </xdr:pic>
    <xdr:clientData/>
  </xdr:twoCellAnchor>
  <xdr:twoCellAnchor editAs="oneCell">
    <xdr:from>
      <xdr:col>10</xdr:col>
      <xdr:colOff>137160</xdr:colOff>
      <xdr:row>8</xdr:row>
      <xdr:rowOff>390525</xdr:rowOff>
    </xdr:from>
    <xdr:to>
      <xdr:col>11</xdr:col>
      <xdr:colOff>72679</xdr:colOff>
      <xdr:row>9</xdr:row>
      <xdr:rowOff>2952</xdr:rowOff>
    </xdr:to>
    <xdr:pic>
      <xdr:nvPicPr>
        <xdr:cNvPr id="4" name="Graphic 577" descr="Bus outline">
          <a:extLst>
            <a:ext uri="{FF2B5EF4-FFF2-40B4-BE49-F238E27FC236}">
              <a16:creationId xmlns:a16="http://schemas.microsoft.com/office/drawing/2014/main" id="{DFCDAB03-2A22-4964-B687-FD186AB3382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7425035" y="5581650"/>
          <a:ext cx="545119" cy="577627"/>
        </a:xfrm>
        <a:prstGeom prst="rect">
          <a:avLst/>
        </a:prstGeom>
      </xdr:spPr>
    </xdr:pic>
    <xdr:clientData/>
  </xdr:twoCellAnchor>
  <xdr:twoCellAnchor editAs="oneCell">
    <xdr:from>
      <xdr:col>10</xdr:col>
      <xdr:colOff>238125</xdr:colOff>
      <xdr:row>13</xdr:row>
      <xdr:rowOff>161925</xdr:rowOff>
    </xdr:from>
    <xdr:to>
      <xdr:col>11</xdr:col>
      <xdr:colOff>187152</xdr:colOff>
      <xdr:row>13</xdr:row>
      <xdr:rowOff>720725</xdr:rowOff>
    </xdr:to>
    <xdr:pic>
      <xdr:nvPicPr>
        <xdr:cNvPr id="5" name="Graphic 578" descr="Truck outline">
          <a:extLst>
            <a:ext uri="{FF2B5EF4-FFF2-40B4-BE49-F238E27FC236}">
              <a16:creationId xmlns:a16="http://schemas.microsoft.com/office/drawing/2014/main" id="{657B4189-47E5-4368-BD81-58C2AA2EFFB1}"/>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7526000" y="8410575"/>
          <a:ext cx="558627" cy="558800"/>
        </a:xfrm>
        <a:prstGeom prst="rect">
          <a:avLst/>
        </a:prstGeom>
      </xdr:spPr>
    </xdr:pic>
    <xdr:clientData/>
  </xdr:twoCellAnchor>
  <xdr:twoCellAnchor editAs="oneCell">
    <xdr:from>
      <xdr:col>10</xdr:col>
      <xdr:colOff>224790</xdr:colOff>
      <xdr:row>11</xdr:row>
      <xdr:rowOff>352425</xdr:rowOff>
    </xdr:from>
    <xdr:to>
      <xdr:col>11</xdr:col>
      <xdr:colOff>187152</xdr:colOff>
      <xdr:row>12</xdr:row>
      <xdr:rowOff>149225</xdr:rowOff>
    </xdr:to>
    <xdr:pic>
      <xdr:nvPicPr>
        <xdr:cNvPr id="6" name="Graphic 579" descr="Car outline">
          <a:extLst>
            <a:ext uri="{FF2B5EF4-FFF2-40B4-BE49-F238E27FC236}">
              <a16:creationId xmlns:a16="http://schemas.microsoft.com/office/drawing/2014/main" id="{540A127B-14EB-427A-927F-626D49154B9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7512665" y="7439025"/>
          <a:ext cx="571962" cy="568325"/>
        </a:xfrm>
        <a:prstGeom prst="rect">
          <a:avLst/>
        </a:prstGeom>
      </xdr:spPr>
    </xdr:pic>
    <xdr:clientData/>
  </xdr:twoCellAnchor>
  <xdr:twoCellAnchor editAs="oneCell">
    <xdr:from>
      <xdr:col>10</xdr:col>
      <xdr:colOff>161925</xdr:colOff>
      <xdr:row>1</xdr:row>
      <xdr:rowOff>0</xdr:rowOff>
    </xdr:from>
    <xdr:to>
      <xdr:col>11</xdr:col>
      <xdr:colOff>110779</xdr:colOff>
      <xdr:row>2</xdr:row>
      <xdr:rowOff>361893</xdr:rowOff>
    </xdr:to>
    <xdr:pic>
      <xdr:nvPicPr>
        <xdr:cNvPr id="7" name="Graphic 580" descr="City outline">
          <a:extLst>
            <a:ext uri="{FF2B5EF4-FFF2-40B4-BE49-F238E27FC236}">
              <a16:creationId xmlns:a16="http://schemas.microsoft.com/office/drawing/2014/main" id="{41B24625-B134-4F39-A5D4-35D2ABA329A8}"/>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7449800" y="276225"/>
          <a:ext cx="558454" cy="571443"/>
        </a:xfrm>
        <a:prstGeom prst="rect">
          <a:avLst/>
        </a:prstGeom>
      </xdr:spPr>
    </xdr:pic>
    <xdr:clientData/>
  </xdr:twoCellAnchor>
  <xdr:twoCellAnchor editAs="oneCell">
    <xdr:from>
      <xdr:col>4</xdr:col>
      <xdr:colOff>236566</xdr:colOff>
      <xdr:row>64</xdr:row>
      <xdr:rowOff>12296</xdr:rowOff>
    </xdr:from>
    <xdr:to>
      <xdr:col>22</xdr:col>
      <xdr:colOff>378090</xdr:colOff>
      <xdr:row>85</xdr:row>
      <xdr:rowOff>40075</xdr:rowOff>
    </xdr:to>
    <xdr:pic>
      <xdr:nvPicPr>
        <xdr:cNvPr id="8" name="Picture 7">
          <a:extLst>
            <a:ext uri="{FF2B5EF4-FFF2-40B4-BE49-F238E27FC236}">
              <a16:creationId xmlns:a16="http://schemas.microsoft.com/office/drawing/2014/main" id="{0EB7DEAB-EF4E-4035-B758-6B4CCEE01847}"/>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9761566" y="31216196"/>
          <a:ext cx="15219599" cy="7895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b Douglas-Jones" id="{24B6CFCC-FD79-4E95-9593-2062896A45D3}" userId="S::rob@edin.co.nz::d788c948-8380-473e-b35d-e06fcf974318" providerId="AD"/>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1">
    <v>8</v>
    <v>5</v>
    <v>A screenshot of a graph
Description automatically generated</v>
  </rv>
  <rv s="0">
    <v>9</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0" dT="2021-11-17T19:59:36.48" personId="{24B6CFCC-FD79-4E95-9593-2062896A45D3}" id="{DE5CB670-0C4F-4038-A44A-66D4C04C2F8B}">
    <text>E feels too low for an FTN</text>
  </threadedComment>
  <threadedComment ref="Q15" dT="2021-11-17T20:00:14.99" personId="{24B6CFCC-FD79-4E95-9593-2062896A45D3}" id="{32194B4E-D86B-4290-9C04-B30CF919A56C}">
    <text>Shouldn't freight get a better LoS during interpeak on the Freight network?</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at.govt.nz/about-us/transport-plans-strategies/future-connect-auckland-transports-network-plan/" TargetMode="External"/><Relationship Id="rId7" Type="http://schemas.openxmlformats.org/officeDocument/2006/relationships/printerSettings" Target="../printerSettings/printerSettings1.bin"/><Relationship Id="rId2" Type="http://schemas.openxmlformats.org/officeDocument/2006/relationships/hyperlink" Target="https://at.govt.nz/about-us/transport-plans-strategies/auckland-network-operating-plan/" TargetMode="External"/><Relationship Id="rId1" Type="http://schemas.openxmlformats.org/officeDocument/2006/relationships/hyperlink" Target="https://mahere.at.govt.nz/futureconnect/" TargetMode="External"/><Relationship Id="rId6" Type="http://schemas.openxmlformats.org/officeDocument/2006/relationships/hyperlink" Target="https://mahere.at.govt.nz/futureconnect/" TargetMode="External"/><Relationship Id="rId5" Type="http://schemas.openxmlformats.org/officeDocument/2006/relationships/hyperlink" Target="https://at.govt.nz/about-us/transport-plans-strategies/auckland-network-operating-plan" TargetMode="External"/><Relationship Id="rId4" Type="http://schemas.openxmlformats.org/officeDocument/2006/relationships/hyperlink" Target="https://at.govt.nz/media/1991103/application-of-the-auckalnd-network-operating-plan-august-202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unitaryplanmaps.aucklandcouncil.govt.nz/upviewer/" TargetMode="External"/><Relationship Id="rId2" Type="http://schemas.openxmlformats.org/officeDocument/2006/relationships/hyperlink" Target="https://mahere.at.govt.nz/futureconnect/" TargetMode="External"/><Relationship Id="rId1" Type="http://schemas.openxmlformats.org/officeDocument/2006/relationships/hyperlink" Target="https://at.govt.nz/about-us/transport-plans-strategies/auckland-network-operating-plan"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s://at.govt.nz/about-us/transport-plans-strategies/auckland-network-operating-pla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6.xml"/><Relationship Id="rId3" Type="http://schemas.openxmlformats.org/officeDocument/2006/relationships/hyperlink" Target="https://at.govt.nz/about-us/transport-plans-strategies/future-connect-auckland-transports-network-plan/" TargetMode="External"/><Relationship Id="rId7" Type="http://schemas.openxmlformats.org/officeDocument/2006/relationships/printerSettings" Target="../printerSettings/printerSettings5.bin"/><Relationship Id="rId2" Type="http://schemas.openxmlformats.org/officeDocument/2006/relationships/hyperlink" Target="https://at.govt.nz/about-us/transport-plans-strategies/auckland-network-operating-plan/" TargetMode="External"/><Relationship Id="rId1" Type="http://schemas.openxmlformats.org/officeDocument/2006/relationships/hyperlink" Target="https://mahere.at.govt.nz/futureconnect/" TargetMode="External"/><Relationship Id="rId6" Type="http://schemas.openxmlformats.org/officeDocument/2006/relationships/hyperlink" Target="https://mahere.at.govt.nz/futureconnect/" TargetMode="External"/><Relationship Id="rId5" Type="http://schemas.openxmlformats.org/officeDocument/2006/relationships/hyperlink" Target="https://at.govt.nz/about-us/transport-plans-strategies/auckland-network-operating-plan" TargetMode="External"/><Relationship Id="rId4" Type="http://schemas.openxmlformats.org/officeDocument/2006/relationships/hyperlink" Target="https://at.govt.nz/media/1991103/application-of-the-auckalnd-network-operating-plan-august-2022.pdf"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B3A0-F069-4841-B2B8-D8346BCFE8F5}">
  <sheetPr codeName="Sheet7">
    <tabColor rgb="FFFF3300"/>
    <outlinePr summaryBelow="0"/>
    <pageSetUpPr fitToPage="1"/>
  </sheetPr>
  <dimension ref="A1:BD96"/>
  <sheetViews>
    <sheetView showGridLines="0" tabSelected="1" zoomScaleNormal="100" workbookViewId="0">
      <selection activeCell="C17" sqref="C17:F17"/>
    </sheetView>
  </sheetViews>
  <sheetFormatPr defaultColWidth="9.08984375" defaultRowHeight="14.5" outlineLevelRow="1" outlineLevelCol="1" x14ac:dyDescent="0.35"/>
  <cols>
    <col min="1" max="1" width="9.6328125" style="218" customWidth="1"/>
    <col min="2" max="2" width="24.08984375" style="218" customWidth="1"/>
    <col min="3" max="6" width="15.6328125" style="218" customWidth="1"/>
    <col min="7" max="7" width="2.08984375" style="218" customWidth="1"/>
    <col min="8" max="8" width="12.36328125" style="218" customWidth="1"/>
    <col min="9" max="10" width="8.36328125" style="218" customWidth="1"/>
    <col min="11" max="11" width="15.453125" style="218" customWidth="1"/>
    <col min="12" max="12" width="12.36328125" style="218" customWidth="1"/>
    <col min="13" max="13" width="15.6328125" style="218" customWidth="1"/>
    <col min="14" max="14" width="20.6328125" style="218" customWidth="1"/>
    <col min="15" max="15" width="3.6328125" style="218" customWidth="1"/>
    <col min="16" max="17" width="12.36328125" style="218" customWidth="1"/>
    <col min="18" max="18" width="8.54296875" style="218" customWidth="1"/>
    <col min="19" max="19" width="9.6328125" style="218" customWidth="1"/>
    <col min="20" max="24" width="8.54296875" style="218" customWidth="1"/>
    <col min="25" max="26" width="9.08984375" style="218" customWidth="1"/>
    <col min="27" max="27" width="23.36328125" style="218" hidden="1" customWidth="1" outlineLevel="1"/>
    <col min="28" max="28" width="9.08984375" style="218" hidden="1" customWidth="1" outlineLevel="1"/>
    <col min="29" max="29" width="11.08984375" style="218" hidden="1" customWidth="1" outlineLevel="1"/>
    <col min="30" max="30" width="12.90625" style="218" hidden="1" customWidth="1" outlineLevel="1"/>
    <col min="31" max="32" width="13.08984375" style="218" hidden="1" customWidth="1" outlineLevel="1"/>
    <col min="33" max="33" width="14.6328125" style="218" hidden="1" customWidth="1" outlineLevel="1"/>
    <col min="34" max="35" width="25.08984375" style="218" hidden="1" customWidth="1" outlineLevel="1"/>
    <col min="36" max="38" width="20" style="218" hidden="1" customWidth="1" outlineLevel="1"/>
    <col min="39" max="39" width="25.08984375" style="218" hidden="1" customWidth="1" outlineLevel="1"/>
    <col min="40" max="40" width="11" style="218" hidden="1" customWidth="1" outlineLevel="1"/>
    <col min="41" max="41" width="18.36328125" style="218" hidden="1" customWidth="1" outlineLevel="1"/>
    <col min="42" max="44" width="18.36328125" style="222" hidden="1" customWidth="1" outlineLevel="1"/>
    <col min="45" max="45" width="28.54296875" style="218" hidden="1" customWidth="1" outlineLevel="1"/>
    <col min="46" max="46" width="18.90625" style="222" hidden="1" customWidth="1" outlineLevel="1"/>
    <col min="47" max="47" width="21.6328125" style="222" hidden="1" customWidth="1" outlineLevel="1"/>
    <col min="48" max="48" width="21.453125" style="218" hidden="1" customWidth="1" outlineLevel="1"/>
    <col min="49" max="49" width="12.90625" style="218" hidden="1" customWidth="1" outlineLevel="1"/>
    <col min="50" max="50" width="14" style="218" hidden="1" customWidth="1" outlineLevel="1"/>
    <col min="51" max="51" width="15.6328125" style="218" hidden="1" customWidth="1" outlineLevel="1"/>
    <col min="52" max="52" width="9.08984375" style="218" hidden="1" customWidth="1" outlineLevel="1"/>
    <col min="53" max="53" width="17.453125" style="218" hidden="1" customWidth="1" outlineLevel="1"/>
    <col min="54" max="55" width="9.08984375" style="218" hidden="1" customWidth="1" outlineLevel="1"/>
    <col min="56" max="56" width="9.08984375" style="218" collapsed="1"/>
    <col min="57" max="16384" width="9.08984375" style="218"/>
  </cols>
  <sheetData>
    <row r="1" spans="1:50" ht="72.650000000000006" customHeight="1" x14ac:dyDescent="0.35">
      <c r="A1" s="398" t="str">
        <f>CONCATENATE("Auckland Network Operating Plan Assessment - ",C17)</f>
        <v xml:space="preserve">Auckland Network Operating Plan Assessment - </v>
      </c>
      <c r="B1" s="398"/>
      <c r="C1" s="398"/>
      <c r="D1" s="398"/>
      <c r="E1" s="398"/>
      <c r="F1" s="398"/>
      <c r="G1" s="398"/>
      <c r="H1" s="398"/>
      <c r="I1" s="398"/>
      <c r="J1" s="398"/>
      <c r="K1" s="398"/>
      <c r="L1" s="398"/>
      <c r="M1" s="398"/>
      <c r="N1" s="409" t="e" vm="1">
        <v>#VALUE!</v>
      </c>
      <c r="O1" s="409"/>
      <c r="Q1" s="219"/>
      <c r="Z1" s="220"/>
      <c r="AA1" s="220"/>
      <c r="AB1" s="220"/>
      <c r="AC1" s="220"/>
      <c r="AD1" s="220"/>
      <c r="AE1" s="220"/>
      <c r="AF1" s="220"/>
      <c r="AG1" s="220"/>
      <c r="AH1" s="220"/>
      <c r="AI1" s="220"/>
      <c r="AJ1" s="220"/>
      <c r="AK1" s="220"/>
      <c r="AL1" s="220"/>
      <c r="AM1" s="220"/>
      <c r="AN1" s="220"/>
      <c r="AO1" s="220"/>
      <c r="AP1" s="221"/>
      <c r="AQ1" s="221"/>
      <c r="AR1" s="221"/>
      <c r="AS1" s="220"/>
      <c r="AV1" s="220"/>
      <c r="AW1" s="220"/>
      <c r="AX1" s="220"/>
    </row>
    <row r="2" spans="1:50" s="225" customFormat="1" ht="10.5" x14ac:dyDescent="0.25">
      <c r="A2" s="223"/>
      <c r="B2" s="223"/>
      <c r="C2" s="223"/>
      <c r="D2" s="223"/>
      <c r="E2" s="223"/>
      <c r="F2" s="223"/>
      <c r="G2" s="223"/>
      <c r="H2" s="223"/>
      <c r="I2" s="223"/>
      <c r="J2" s="223"/>
      <c r="K2" s="223"/>
      <c r="L2" s="223"/>
      <c r="M2" s="223"/>
      <c r="N2" s="224"/>
      <c r="O2" s="224"/>
      <c r="Q2" s="226"/>
      <c r="Z2" s="227"/>
      <c r="AA2" s="227"/>
      <c r="AB2" s="227"/>
      <c r="AC2" s="227"/>
      <c r="AD2" s="227"/>
      <c r="AE2" s="227"/>
      <c r="AF2" s="227"/>
      <c r="AG2" s="227"/>
      <c r="AH2" s="227"/>
      <c r="AI2" s="227"/>
      <c r="AJ2" s="227"/>
      <c r="AK2" s="227"/>
      <c r="AL2" s="227"/>
      <c r="AM2" s="227"/>
      <c r="AN2" s="227"/>
      <c r="AO2" s="227"/>
      <c r="AP2" s="228"/>
      <c r="AQ2" s="228"/>
      <c r="AR2" s="228"/>
      <c r="AS2" s="227"/>
      <c r="AT2" s="224"/>
      <c r="AU2" s="224"/>
      <c r="AV2" s="227"/>
      <c r="AW2" s="227"/>
      <c r="AX2" s="227"/>
    </row>
    <row r="3" spans="1:50" ht="26" x14ac:dyDescent="0.35">
      <c r="A3" s="370" t="s">
        <v>0</v>
      </c>
      <c r="B3" s="371"/>
      <c r="C3" s="371"/>
      <c r="D3" s="371"/>
      <c r="E3" s="371"/>
      <c r="F3" s="371"/>
      <c r="G3" s="371"/>
      <c r="H3" s="371"/>
      <c r="I3" s="371"/>
      <c r="J3" s="371"/>
      <c r="K3" s="371"/>
      <c r="L3" s="371"/>
      <c r="M3" s="371"/>
      <c r="N3" s="229"/>
      <c r="O3" s="230"/>
      <c r="Q3" s="219"/>
      <c r="Z3" s="220"/>
      <c r="AA3" s="220"/>
      <c r="AB3" s="220"/>
      <c r="AC3" s="220"/>
      <c r="AD3" s="220"/>
      <c r="AE3" s="220"/>
      <c r="AF3" s="220"/>
      <c r="AG3" s="220"/>
      <c r="AH3" s="220"/>
      <c r="AI3" s="220"/>
      <c r="AJ3" s="220"/>
      <c r="AK3" s="220"/>
      <c r="AL3" s="220"/>
      <c r="AM3" s="220"/>
      <c r="AN3" s="220"/>
      <c r="AO3" s="220"/>
      <c r="AP3" s="221"/>
      <c r="AQ3" s="221"/>
      <c r="AR3" s="221"/>
      <c r="AS3" s="220"/>
      <c r="AV3" s="220"/>
      <c r="AW3" s="220"/>
      <c r="AX3" s="220"/>
    </row>
    <row r="4" spans="1:50" ht="52.25" customHeight="1" x14ac:dyDescent="0.35">
      <c r="A4" s="346" t="s">
        <v>586</v>
      </c>
      <c r="B4" s="347"/>
      <c r="C4" s="347"/>
      <c r="D4" s="347"/>
      <c r="E4" s="347"/>
      <c r="F4" s="347"/>
      <c r="G4" s="347"/>
      <c r="H4" s="347"/>
      <c r="I4" s="347"/>
      <c r="J4" s="347"/>
      <c r="K4" s="347"/>
      <c r="L4" s="347"/>
      <c r="M4" s="347"/>
      <c r="N4" s="347"/>
      <c r="O4" s="348"/>
      <c r="Q4" s="219"/>
      <c r="Z4" s="220"/>
      <c r="AA4" s="220"/>
      <c r="AB4" s="220"/>
      <c r="AC4" s="220"/>
      <c r="AD4" s="220"/>
      <c r="AE4" s="220"/>
      <c r="AF4" s="220"/>
      <c r="AG4" s="220"/>
      <c r="AH4" s="220"/>
      <c r="AI4" s="220"/>
      <c r="AJ4" s="220"/>
      <c r="AK4" s="220"/>
      <c r="AL4" s="220"/>
      <c r="AM4" s="220"/>
      <c r="AN4" s="220"/>
      <c r="AO4" s="220"/>
      <c r="AP4" s="221"/>
      <c r="AQ4" s="221"/>
      <c r="AR4" s="221"/>
      <c r="AS4" s="220"/>
      <c r="AV4" s="220"/>
      <c r="AW4" s="220"/>
      <c r="AX4" s="220"/>
    </row>
    <row r="5" spans="1:50" ht="26" x14ac:dyDescent="0.35">
      <c r="A5" s="376" t="s">
        <v>585</v>
      </c>
      <c r="B5" s="377"/>
      <c r="C5" s="377"/>
      <c r="D5" s="377"/>
      <c r="E5" s="377"/>
      <c r="F5" s="377"/>
      <c r="G5" s="377"/>
      <c r="H5" s="377"/>
      <c r="I5" s="377"/>
      <c r="J5" s="377"/>
      <c r="K5" s="377"/>
      <c r="L5" s="377"/>
      <c r="M5" s="377"/>
      <c r="N5" s="217"/>
      <c r="O5" s="233"/>
      <c r="Q5" s="219"/>
      <c r="Z5" s="220"/>
      <c r="AA5" s="220"/>
      <c r="AB5" s="220"/>
      <c r="AC5" s="220"/>
      <c r="AD5" s="220"/>
      <c r="AE5" s="220"/>
      <c r="AF5" s="220"/>
      <c r="AG5" s="220"/>
      <c r="AH5" s="220"/>
      <c r="AI5" s="220"/>
      <c r="AJ5" s="220"/>
      <c r="AK5" s="220"/>
      <c r="AL5" s="220"/>
      <c r="AM5" s="220"/>
      <c r="AN5" s="220"/>
      <c r="AO5" s="220"/>
      <c r="AP5" s="221"/>
      <c r="AQ5" s="221"/>
      <c r="AR5" s="221"/>
      <c r="AS5" s="220"/>
      <c r="AV5" s="220"/>
      <c r="AW5" s="220"/>
      <c r="AX5" s="220"/>
    </row>
    <row r="6" spans="1:50" ht="24.75" customHeight="1" outlineLevel="1" x14ac:dyDescent="0.35">
      <c r="A6" s="372" t="s">
        <v>1</v>
      </c>
      <c r="B6" s="373"/>
      <c r="C6" s="373"/>
      <c r="D6" s="373"/>
      <c r="E6" s="373"/>
      <c r="F6" s="373"/>
      <c r="G6" s="405" t="s">
        <v>2</v>
      </c>
      <c r="H6" s="406"/>
      <c r="I6" s="406"/>
      <c r="J6" s="406"/>
      <c r="K6" s="407"/>
      <c r="L6" s="220"/>
      <c r="M6" s="232"/>
      <c r="N6" s="217"/>
      <c r="O6" s="233"/>
      <c r="Q6" s="219"/>
      <c r="Z6" s="220"/>
      <c r="AA6" s="220"/>
      <c r="AB6" s="220"/>
      <c r="AC6" s="220"/>
      <c r="AD6" s="220"/>
      <c r="AE6" s="220"/>
      <c r="AF6" s="220"/>
      <c r="AG6" s="220"/>
      <c r="AH6" s="220"/>
      <c r="AI6" s="220"/>
      <c r="AJ6" s="220"/>
      <c r="AK6" s="220"/>
      <c r="AL6" s="220"/>
      <c r="AM6" s="220"/>
      <c r="AN6" s="220"/>
      <c r="AO6" s="220"/>
      <c r="AP6" s="221"/>
      <c r="AQ6" s="221"/>
      <c r="AR6" s="221"/>
      <c r="AS6" s="220"/>
      <c r="AV6" s="220"/>
      <c r="AW6" s="220"/>
      <c r="AX6" s="220"/>
    </row>
    <row r="7" spans="1:50" ht="24.75" customHeight="1" outlineLevel="1" x14ac:dyDescent="0.35">
      <c r="A7" s="346" t="s">
        <v>606</v>
      </c>
      <c r="B7" s="347"/>
      <c r="C7" s="347"/>
      <c r="D7" s="347"/>
      <c r="E7" s="347"/>
      <c r="F7" s="347"/>
      <c r="G7" s="347"/>
      <c r="H7" s="347"/>
      <c r="I7" s="347"/>
      <c r="J7" s="347"/>
      <c r="K7" s="347"/>
      <c r="L7" s="347"/>
      <c r="M7" s="347"/>
      <c r="N7" s="347"/>
      <c r="O7" s="348"/>
      <c r="Q7" s="219"/>
      <c r="Z7" s="220"/>
      <c r="AA7" s="220"/>
      <c r="AB7" s="220"/>
      <c r="AC7" s="220"/>
      <c r="AD7" s="220"/>
      <c r="AE7" s="220"/>
      <c r="AF7" s="220"/>
      <c r="AG7" s="220"/>
      <c r="AH7" s="220"/>
      <c r="AI7" s="220"/>
      <c r="AJ7" s="220"/>
      <c r="AK7" s="220"/>
      <c r="AL7" s="220"/>
      <c r="AM7" s="220"/>
      <c r="AN7" s="220"/>
      <c r="AO7" s="220"/>
      <c r="AP7" s="221"/>
      <c r="AQ7" s="221"/>
      <c r="AR7" s="221"/>
      <c r="AS7" s="220"/>
      <c r="AV7" s="220"/>
      <c r="AW7" s="220"/>
      <c r="AX7" s="220"/>
    </row>
    <row r="8" spans="1:50" ht="42.75" customHeight="1" outlineLevel="1" x14ac:dyDescent="0.35">
      <c r="A8" s="346" t="s">
        <v>4</v>
      </c>
      <c r="B8" s="347"/>
      <c r="C8" s="347"/>
      <c r="D8" s="347"/>
      <c r="E8" s="347"/>
      <c r="F8" s="347"/>
      <c r="G8" s="347"/>
      <c r="H8" s="347"/>
      <c r="I8" s="347"/>
      <c r="J8" s="347"/>
      <c r="K8" s="347"/>
      <c r="L8" s="347"/>
      <c r="M8" s="347"/>
      <c r="N8" s="374" t="s">
        <v>5</v>
      </c>
      <c r="O8" s="375"/>
      <c r="Q8" s="234"/>
      <c r="Z8" s="220"/>
      <c r="AA8" s="220"/>
      <c r="AB8" s="220"/>
      <c r="AC8" s="220"/>
      <c r="AD8" s="220"/>
      <c r="AE8" s="220"/>
      <c r="AF8" s="220"/>
      <c r="AG8" s="220"/>
      <c r="AH8" s="220"/>
      <c r="AI8" s="220"/>
      <c r="AJ8" s="220"/>
      <c r="AK8" s="220"/>
      <c r="AL8" s="220"/>
      <c r="AM8" s="220"/>
      <c r="AN8" s="220"/>
      <c r="AO8" s="220"/>
      <c r="AP8" s="221"/>
      <c r="AQ8" s="221"/>
      <c r="AR8" s="221"/>
      <c r="AS8" s="220"/>
      <c r="AV8" s="220"/>
      <c r="AW8" s="220"/>
      <c r="AX8" s="220"/>
    </row>
    <row r="9" spans="1:50" ht="42.75" customHeight="1" outlineLevel="1" x14ac:dyDescent="0.35">
      <c r="A9" s="346" t="s">
        <v>6</v>
      </c>
      <c r="B9" s="347"/>
      <c r="C9" s="347"/>
      <c r="D9" s="347"/>
      <c r="E9" s="347"/>
      <c r="F9" s="347"/>
      <c r="G9" s="347"/>
      <c r="H9" s="347"/>
      <c r="I9" s="347"/>
      <c r="J9" s="347"/>
      <c r="K9" s="347"/>
      <c r="L9" s="347"/>
      <c r="M9" s="347"/>
      <c r="N9" s="374" t="s">
        <v>7</v>
      </c>
      <c r="O9" s="375"/>
      <c r="Q9" s="219"/>
      <c r="Z9" s="220"/>
      <c r="AA9" s="220"/>
      <c r="AB9" s="220"/>
      <c r="AC9" s="220"/>
      <c r="AD9" s="220"/>
      <c r="AE9" s="220"/>
      <c r="AF9" s="220"/>
      <c r="AG9" s="220"/>
      <c r="AH9" s="220"/>
      <c r="AI9" s="220"/>
      <c r="AJ9" s="220"/>
      <c r="AK9" s="220"/>
      <c r="AL9" s="220"/>
      <c r="AM9" s="220"/>
      <c r="AN9" s="220"/>
      <c r="AO9" s="220"/>
      <c r="AP9" s="221"/>
      <c r="AQ9" s="221"/>
      <c r="AR9" s="221"/>
      <c r="AS9" s="220"/>
      <c r="AV9" s="220"/>
      <c r="AW9" s="220"/>
      <c r="AX9" s="220"/>
    </row>
    <row r="10" spans="1:50" ht="24.9" customHeight="1" outlineLevel="1" x14ac:dyDescent="0.35">
      <c r="A10" s="346" t="s">
        <v>8</v>
      </c>
      <c r="B10" s="347"/>
      <c r="C10" s="347"/>
      <c r="D10" s="347"/>
      <c r="E10" s="347"/>
      <c r="F10" s="347"/>
      <c r="G10" s="347"/>
      <c r="H10" s="347"/>
      <c r="I10" s="347"/>
      <c r="J10" s="347"/>
      <c r="K10" s="347"/>
      <c r="L10" s="347"/>
      <c r="M10" s="347"/>
      <c r="N10" s="347"/>
      <c r="O10" s="348"/>
      <c r="Q10" s="219"/>
      <c r="Z10" s="220"/>
      <c r="AA10" s="220"/>
      <c r="AB10" s="220"/>
      <c r="AC10" s="220"/>
      <c r="AD10" s="220"/>
      <c r="AE10" s="220"/>
      <c r="AF10" s="220"/>
      <c r="AG10" s="220"/>
      <c r="AH10" s="220"/>
      <c r="AI10" s="220"/>
      <c r="AJ10" s="220"/>
      <c r="AK10" s="220"/>
      <c r="AL10" s="220"/>
      <c r="AM10" s="220"/>
      <c r="AN10" s="220"/>
      <c r="AO10" s="220"/>
      <c r="AP10" s="221"/>
      <c r="AQ10" s="221"/>
      <c r="AR10" s="221"/>
      <c r="AS10" s="220"/>
      <c r="AV10" s="220"/>
      <c r="AW10" s="220"/>
      <c r="AX10" s="220"/>
    </row>
    <row r="11" spans="1:50" ht="42.75" customHeight="1" outlineLevel="1" x14ac:dyDescent="0.35">
      <c r="A11" s="346" t="s">
        <v>9</v>
      </c>
      <c r="B11" s="347"/>
      <c r="C11" s="347"/>
      <c r="D11" s="347"/>
      <c r="E11" s="347"/>
      <c r="F11" s="347"/>
      <c r="G11" s="347"/>
      <c r="H11" s="347"/>
      <c r="I11" s="347"/>
      <c r="J11" s="347"/>
      <c r="K11" s="347"/>
      <c r="L11" s="347"/>
      <c r="M11" s="347"/>
      <c r="N11" s="347"/>
      <c r="O11" s="348"/>
      <c r="Q11" s="219"/>
      <c r="Z11" s="220"/>
      <c r="AA11" s="220"/>
      <c r="AB11" s="220"/>
      <c r="AC11" s="220"/>
      <c r="AD11" s="220"/>
      <c r="AE11" s="220"/>
      <c r="AF11" s="220"/>
      <c r="AG11" s="220"/>
      <c r="AH11" s="220"/>
      <c r="AI11" s="220"/>
      <c r="AJ11" s="220"/>
      <c r="AK11" s="220"/>
      <c r="AL11" s="220"/>
      <c r="AM11" s="220"/>
      <c r="AN11" s="220"/>
      <c r="AO11" s="220"/>
      <c r="AP11" s="221"/>
      <c r="AQ11" s="221"/>
      <c r="AR11" s="221"/>
      <c r="AS11" s="220"/>
      <c r="AV11" s="220"/>
      <c r="AW11" s="220"/>
      <c r="AX11" s="220"/>
    </row>
    <row r="12" spans="1:50" ht="24.75" customHeight="1" outlineLevel="1" x14ac:dyDescent="0.35">
      <c r="A12" s="346" t="s">
        <v>10</v>
      </c>
      <c r="B12" s="347"/>
      <c r="C12" s="347"/>
      <c r="D12" s="347"/>
      <c r="E12" s="347"/>
      <c r="F12" s="347"/>
      <c r="G12" s="347"/>
      <c r="H12" s="347"/>
      <c r="I12" s="347"/>
      <c r="J12" s="347"/>
      <c r="K12" s="347"/>
      <c r="L12" s="347"/>
      <c r="M12" s="347"/>
      <c r="N12" s="347"/>
      <c r="O12" s="348"/>
      <c r="Q12" s="219"/>
      <c r="Z12" s="220"/>
      <c r="AA12" s="220"/>
      <c r="AB12" s="220"/>
      <c r="AC12" s="218" t="s">
        <v>11</v>
      </c>
      <c r="AD12" s="220"/>
      <c r="AE12" s="220"/>
      <c r="AF12" s="220"/>
      <c r="AG12" s="220"/>
      <c r="AH12" s="220"/>
      <c r="AI12" s="220"/>
      <c r="AJ12" s="220"/>
      <c r="AK12" s="220"/>
      <c r="AL12" s="220"/>
      <c r="AM12" s="220"/>
      <c r="AN12" s="220"/>
      <c r="AO12" s="220"/>
      <c r="AP12" s="221"/>
      <c r="AQ12" s="221"/>
      <c r="AR12" s="221"/>
      <c r="AS12" s="220"/>
      <c r="AV12" s="220"/>
      <c r="AW12" s="220"/>
      <c r="AX12" s="220"/>
    </row>
    <row r="13" spans="1:50" ht="24.75" customHeight="1" outlineLevel="1" x14ac:dyDescent="0.35">
      <c r="A13" s="346" t="s">
        <v>12</v>
      </c>
      <c r="B13" s="347"/>
      <c r="C13" s="347"/>
      <c r="D13" s="347"/>
      <c r="E13" s="347"/>
      <c r="F13" s="347"/>
      <c r="G13" s="347"/>
      <c r="H13" s="347"/>
      <c r="I13" s="347"/>
      <c r="J13" s="347"/>
      <c r="K13" s="347"/>
      <c r="L13" s="347"/>
      <c r="M13" s="347"/>
      <c r="N13" s="347"/>
      <c r="O13" s="348"/>
      <c r="Q13" s="219"/>
      <c r="Z13" s="220"/>
      <c r="AA13" s="220"/>
      <c r="AB13" s="220"/>
      <c r="AD13" s="220"/>
      <c r="AE13" s="220"/>
      <c r="AF13" s="220"/>
      <c r="AG13" s="220"/>
      <c r="AH13" s="220"/>
      <c r="AI13" s="220"/>
      <c r="AJ13" s="220"/>
      <c r="AK13" s="220"/>
      <c r="AL13" s="220"/>
      <c r="AM13" s="220"/>
      <c r="AN13" s="220"/>
      <c r="AO13" s="220"/>
      <c r="AP13" s="221"/>
      <c r="AQ13" s="221"/>
      <c r="AR13" s="221"/>
      <c r="AS13" s="220"/>
      <c r="AV13" s="220"/>
      <c r="AW13" s="220"/>
      <c r="AX13" s="220"/>
    </row>
    <row r="14" spans="1:50" ht="24.75" customHeight="1" outlineLevel="1" x14ac:dyDescent="0.35">
      <c r="A14" s="343" t="s">
        <v>13</v>
      </c>
      <c r="B14" s="344"/>
      <c r="C14" s="344"/>
      <c r="D14" s="344"/>
      <c r="E14" s="344"/>
      <c r="F14" s="344"/>
      <c r="G14" s="344"/>
      <c r="H14" s="344"/>
      <c r="I14" s="344"/>
      <c r="J14" s="344"/>
      <c r="K14" s="344"/>
      <c r="L14" s="344"/>
      <c r="M14" s="344"/>
      <c r="N14" s="344"/>
      <c r="O14" s="345"/>
      <c r="Z14" s="220"/>
      <c r="AA14" s="220"/>
      <c r="AB14" s="220"/>
      <c r="AD14" s="220"/>
      <c r="AE14" s="220"/>
      <c r="AF14" s="220"/>
      <c r="AG14" s="220"/>
      <c r="AH14" s="220"/>
      <c r="AI14" s="220"/>
      <c r="AJ14" s="220"/>
      <c r="AK14" s="220"/>
      <c r="AL14" s="220"/>
      <c r="AM14" s="220"/>
      <c r="AN14" s="220"/>
      <c r="AO14" s="220"/>
      <c r="AP14" s="221"/>
      <c r="AQ14" s="221"/>
      <c r="AR14" s="221"/>
      <c r="AS14" s="220"/>
      <c r="AV14" s="220"/>
      <c r="AW14" s="220"/>
      <c r="AX14" s="220"/>
    </row>
    <row r="15" spans="1:50" x14ac:dyDescent="0.35">
      <c r="A15" s="247"/>
      <c r="B15" s="247"/>
      <c r="C15" s="247"/>
      <c r="D15" s="247"/>
      <c r="E15" s="247"/>
      <c r="F15" s="247"/>
      <c r="G15" s="247"/>
      <c r="H15" s="247"/>
      <c r="I15" s="247"/>
      <c r="J15" s="247"/>
      <c r="K15" s="247"/>
      <c r="L15" s="247"/>
      <c r="M15" s="247"/>
      <c r="N15" s="247"/>
      <c r="O15" s="247"/>
      <c r="Z15" s="220"/>
      <c r="AA15" s="220"/>
      <c r="AB15" s="220"/>
      <c r="AC15" s="235" t="s">
        <v>14</v>
      </c>
      <c r="AD15" s="220"/>
      <c r="AE15" s="220"/>
      <c r="AF15" s="220"/>
      <c r="AG15" s="220"/>
      <c r="AH15" s="220"/>
      <c r="AI15" s="220"/>
      <c r="AJ15" s="220"/>
      <c r="AK15" s="220"/>
      <c r="AL15" s="220"/>
      <c r="AM15" s="220"/>
      <c r="AN15" s="220"/>
      <c r="AO15" s="220"/>
      <c r="AP15" s="221"/>
      <c r="AQ15" s="221"/>
      <c r="AR15" s="221"/>
      <c r="AS15" s="220"/>
      <c r="AV15" s="220"/>
      <c r="AW15" s="220"/>
      <c r="AX15" s="220"/>
    </row>
    <row r="16" spans="1:50" ht="16" x14ac:dyDescent="0.35">
      <c r="A16" s="236"/>
      <c r="B16" s="236"/>
      <c r="C16" s="236"/>
      <c r="D16" s="236"/>
      <c r="E16" s="236"/>
      <c r="F16" s="236"/>
      <c r="L16" s="220"/>
      <c r="Z16" s="220"/>
      <c r="AA16" s="220"/>
      <c r="AB16" s="220"/>
      <c r="AC16" s="235" t="s">
        <v>15</v>
      </c>
      <c r="AD16" s="220"/>
      <c r="AE16" s="220"/>
      <c r="AF16" s="220"/>
      <c r="AG16" s="220"/>
      <c r="AH16" s="220"/>
      <c r="AI16" s="220"/>
      <c r="AJ16" s="220"/>
      <c r="AK16" s="220"/>
      <c r="AL16" s="220"/>
      <c r="AM16" s="220"/>
      <c r="AN16" s="220"/>
      <c r="AO16" s="220"/>
      <c r="AP16" s="221"/>
      <c r="AQ16" s="221"/>
      <c r="AR16" s="221"/>
      <c r="AS16" s="220"/>
      <c r="AV16" s="220"/>
      <c r="AW16" s="220"/>
      <c r="AX16" s="220"/>
    </row>
    <row r="17" spans="1:55" ht="16" x14ac:dyDescent="0.35">
      <c r="A17" s="237" t="s">
        <v>16</v>
      </c>
      <c r="B17" s="238" t="s">
        <v>17</v>
      </c>
      <c r="C17" s="408"/>
      <c r="D17" s="378"/>
      <c r="E17" s="378"/>
      <c r="F17" s="379"/>
      <c r="G17" s="220"/>
      <c r="L17" s="220"/>
      <c r="Z17" s="220"/>
      <c r="AA17" s="220"/>
      <c r="AB17" s="220"/>
      <c r="AC17" s="235" t="s">
        <v>18</v>
      </c>
      <c r="AD17" s="220"/>
      <c r="AE17" s="220"/>
      <c r="AF17" s="220"/>
      <c r="AG17" s="220"/>
      <c r="AH17" s="220"/>
      <c r="AI17" s="220"/>
      <c r="AJ17" s="220"/>
      <c r="AK17" s="220"/>
      <c r="AL17" s="220"/>
      <c r="AM17" s="220"/>
      <c r="AN17" s="220"/>
      <c r="AO17" s="220"/>
      <c r="AP17" s="221"/>
      <c r="AQ17" s="221"/>
      <c r="AR17" s="221"/>
      <c r="AS17" s="220"/>
      <c r="AV17" s="220"/>
      <c r="AW17" s="220"/>
      <c r="AX17" s="220"/>
    </row>
    <row r="18" spans="1:55" ht="32" x14ac:dyDescent="0.35">
      <c r="A18" s="349" t="s">
        <v>19</v>
      </c>
      <c r="B18" s="297" t="s">
        <v>20</v>
      </c>
      <c r="C18" s="408"/>
      <c r="D18" s="378"/>
      <c r="E18" s="378"/>
      <c r="F18" s="379"/>
      <c r="G18" s="220"/>
      <c r="L18" s="220"/>
      <c r="Z18" s="220"/>
      <c r="AA18" s="220"/>
      <c r="AB18" s="220"/>
      <c r="AC18" s="235" t="s">
        <v>21</v>
      </c>
      <c r="AD18" s="220"/>
      <c r="AE18" s="220"/>
      <c r="AF18" s="220"/>
      <c r="AG18" s="220"/>
      <c r="AH18" s="220"/>
      <c r="AI18" s="220"/>
      <c r="AJ18" s="220"/>
      <c r="AK18" s="220"/>
      <c r="AL18" s="220"/>
      <c r="AM18" s="220"/>
      <c r="AN18" s="220"/>
      <c r="AO18" s="220"/>
      <c r="AP18" s="221"/>
      <c r="AQ18" s="221"/>
      <c r="AR18" s="221"/>
      <c r="AS18" s="220"/>
      <c r="AV18" s="220"/>
      <c r="AW18" s="220"/>
      <c r="AX18" s="220"/>
    </row>
    <row r="19" spans="1:55" ht="16" x14ac:dyDescent="0.35">
      <c r="A19" s="349"/>
      <c r="B19" s="238" t="s">
        <v>22</v>
      </c>
      <c r="C19" s="408"/>
      <c r="D19" s="378"/>
      <c r="E19" s="378"/>
      <c r="F19" s="379"/>
      <c r="G19" s="220"/>
      <c r="L19" s="220"/>
      <c r="Z19" s="220"/>
      <c r="AA19" s="220"/>
      <c r="AB19" s="220"/>
      <c r="AC19" s="235" t="s">
        <v>23</v>
      </c>
      <c r="AD19" s="220"/>
      <c r="AE19" s="220"/>
      <c r="AF19" s="220"/>
      <c r="AG19" s="220"/>
      <c r="AH19" s="220"/>
      <c r="AI19" s="220"/>
      <c r="AJ19" s="220"/>
      <c r="AK19" s="220"/>
      <c r="AL19" s="220"/>
      <c r="AM19" s="220"/>
      <c r="AN19" s="220"/>
      <c r="AO19" s="220"/>
      <c r="AP19" s="221"/>
      <c r="AQ19" s="221"/>
      <c r="AR19" s="221"/>
      <c r="AS19" s="220"/>
      <c r="AV19" s="220"/>
      <c r="AW19" s="220"/>
      <c r="AX19" s="220"/>
    </row>
    <row r="20" spans="1:55" ht="16" x14ac:dyDescent="0.35">
      <c r="A20" s="349"/>
      <c r="B20" s="238" t="s">
        <v>605</v>
      </c>
      <c r="C20" s="408"/>
      <c r="D20" s="378"/>
      <c r="E20" s="378"/>
      <c r="F20" s="379"/>
      <c r="G20" s="220"/>
      <c r="L20" s="220"/>
      <c r="Z20" s="220"/>
      <c r="AA20" s="220"/>
      <c r="AB20" s="220"/>
      <c r="AC20" s="235"/>
      <c r="AD20" s="220"/>
      <c r="AE20" s="220"/>
      <c r="AF20" s="220"/>
      <c r="AG20" s="220"/>
      <c r="AH20" s="220"/>
      <c r="AI20" s="220"/>
      <c r="AJ20" s="220"/>
      <c r="AK20" s="220"/>
      <c r="AL20" s="220"/>
      <c r="AM20" s="220"/>
      <c r="AN20" s="220"/>
      <c r="AO20" s="220"/>
      <c r="AP20" s="221"/>
      <c r="AQ20" s="221"/>
      <c r="AR20" s="221"/>
      <c r="AS20" s="220"/>
      <c r="AV20" s="220"/>
      <c r="AW20" s="220"/>
      <c r="AX20" s="220"/>
    </row>
    <row r="21" spans="1:55" ht="16" x14ac:dyDescent="0.35">
      <c r="A21" s="349"/>
      <c r="B21" s="238" t="s">
        <v>24</v>
      </c>
      <c r="C21" s="399"/>
      <c r="D21" s="400"/>
      <c r="E21" s="400"/>
      <c r="F21" s="401"/>
      <c r="G21" s="220"/>
      <c r="Z21" s="220"/>
      <c r="AA21" s="220"/>
      <c r="AB21" s="220"/>
      <c r="AC21" s="235"/>
      <c r="AD21" s="220"/>
      <c r="AE21" s="220"/>
      <c r="AF21" s="220"/>
      <c r="AG21" s="220"/>
      <c r="AH21" s="220"/>
      <c r="AI21" s="220"/>
      <c r="AJ21" s="220"/>
      <c r="AK21" s="220"/>
      <c r="AL21" s="220"/>
      <c r="AM21" s="220"/>
      <c r="AN21" s="220"/>
      <c r="AO21" s="220"/>
      <c r="AP21" s="221"/>
      <c r="AQ21" s="221"/>
      <c r="AR21" s="221"/>
      <c r="AS21" s="220"/>
      <c r="AV21" s="220"/>
      <c r="AW21" s="220"/>
      <c r="AX21" s="220"/>
    </row>
    <row r="22" spans="1:55" ht="16" x14ac:dyDescent="0.35">
      <c r="A22" s="350"/>
      <c r="B22" s="238" t="s">
        <v>25</v>
      </c>
      <c r="C22" s="408"/>
      <c r="D22" s="378"/>
      <c r="E22" s="378"/>
      <c r="F22" s="379"/>
      <c r="G22" s="220"/>
      <c r="Z22" s="220"/>
      <c r="AA22" s="220"/>
      <c r="AB22" s="220"/>
      <c r="AC22" s="235" t="s">
        <v>27</v>
      </c>
      <c r="AD22" s="220"/>
      <c r="AE22" s="220"/>
      <c r="AF22" s="220"/>
      <c r="AG22" s="220"/>
      <c r="AH22" s="220"/>
      <c r="AI22" s="220"/>
      <c r="AJ22" s="220"/>
      <c r="AK22" s="220"/>
      <c r="AL22" s="220"/>
      <c r="AM22" s="220"/>
      <c r="AN22" s="220"/>
      <c r="AO22" s="220"/>
      <c r="AP22" s="221"/>
      <c r="AQ22" s="221"/>
      <c r="AR22" s="221"/>
      <c r="AS22" s="220"/>
      <c r="AV22" s="220"/>
      <c r="AW22" s="220"/>
      <c r="AX22" s="220"/>
    </row>
    <row r="23" spans="1:55" ht="16" x14ac:dyDescent="0.35">
      <c r="A23" s="239"/>
      <c r="B23" s="236"/>
      <c r="C23" s="240"/>
      <c r="D23" s="240"/>
      <c r="E23" s="240"/>
      <c r="F23" s="240"/>
      <c r="Z23" s="220"/>
      <c r="AA23" s="220"/>
      <c r="AB23" s="220"/>
      <c r="AC23" s="235" t="s">
        <v>28</v>
      </c>
      <c r="AD23" s="220"/>
      <c r="AV23" s="220"/>
      <c r="AW23" s="220"/>
      <c r="AX23" s="220"/>
    </row>
    <row r="24" spans="1:55" ht="16" customHeight="1" x14ac:dyDescent="0.35">
      <c r="A24" s="241" t="s">
        <v>29</v>
      </c>
      <c r="B24" s="358" t="s">
        <v>604</v>
      </c>
      <c r="C24" s="359"/>
      <c r="D24" s="359"/>
      <c r="E24" s="359"/>
      <c r="F24" s="360"/>
      <c r="G24" s="242"/>
      <c r="H24" s="243"/>
      <c r="J24" s="220"/>
      <c r="K24" s="220"/>
      <c r="Z24" s="220"/>
      <c r="AA24" s="220"/>
      <c r="AB24" s="220"/>
      <c r="AC24" s="220"/>
      <c r="AD24" s="244" t="s">
        <v>30</v>
      </c>
      <c r="AE24" s="244" t="s">
        <v>31</v>
      </c>
      <c r="AF24" s="244" t="s">
        <v>32</v>
      </c>
      <c r="AG24" s="244" t="s">
        <v>33</v>
      </c>
      <c r="AH24" s="244" t="s">
        <v>34</v>
      </c>
      <c r="AI24" s="244" t="s">
        <v>35</v>
      </c>
      <c r="AJ24" s="244" t="s">
        <v>36</v>
      </c>
      <c r="AK24" s="244" t="s">
        <v>37</v>
      </c>
      <c r="AL24" s="244" t="s">
        <v>38</v>
      </c>
      <c r="AM24" s="245" t="s">
        <v>39</v>
      </c>
      <c r="AN24" s="244" t="s">
        <v>40</v>
      </c>
      <c r="AO24" s="244" t="s">
        <v>41</v>
      </c>
      <c r="AP24" s="244" t="s">
        <v>42</v>
      </c>
      <c r="AQ24" s="244" t="s">
        <v>43</v>
      </c>
      <c r="AR24" s="244" t="s">
        <v>44</v>
      </c>
      <c r="AS24" s="244" t="s">
        <v>45</v>
      </c>
      <c r="AT24" s="244" t="s">
        <v>46</v>
      </c>
      <c r="AU24" s="244" t="s">
        <v>47</v>
      </c>
      <c r="AV24" s="244" t="s">
        <v>48</v>
      </c>
      <c r="AW24" s="221"/>
      <c r="AX24" s="220"/>
      <c r="BA24" s="246" t="s">
        <v>49</v>
      </c>
      <c r="BB24" s="247"/>
      <c r="BC24" s="248" t="str">
        <f>IF(SUM(BA25:BC39)&gt;0,"Incomplete","Complete")</f>
        <v>Incomplete</v>
      </c>
    </row>
    <row r="25" spans="1:55" ht="16" x14ac:dyDescent="0.35">
      <c r="A25" s="336" t="s">
        <v>50</v>
      </c>
      <c r="B25" s="249" t="s">
        <v>51</v>
      </c>
      <c r="C25" s="361"/>
      <c r="D25" s="362"/>
      <c r="E25" s="362"/>
      <c r="F25" s="363"/>
      <c r="J25" s="220"/>
      <c r="K25" s="220"/>
      <c r="Z25" s="220"/>
      <c r="AA25" s="220"/>
      <c r="AB25" s="220"/>
      <c r="AC25" s="235" t="s">
        <v>53</v>
      </c>
      <c r="AD25" s="222" t="e">
        <f>_xlfn.XLOOKUP(C25,'Data validation'!Y4:Y7,'Data validation'!AB4:AB7)</f>
        <v>#N/A</v>
      </c>
      <c r="AE25" s="222" t="e">
        <f>_xlfn.XLOOKUP(AF25,'Data validation'!$J$23:$J$30,'Data validation'!$I$23:$I$30)</f>
        <v>#N/A</v>
      </c>
      <c r="AF25" s="222" t="e">
        <f>_xlfn.XLOOKUP(AD25,'Data validation'!$I$23:$I$30,'Data validation'!$J$23:$J$30)</f>
        <v>#N/A</v>
      </c>
      <c r="AG25" s="222">
        <f>IF(C35="",0,_xlfn.XLOOKUP(C35,'Data validation'!$I$23:$I$30,'Data validation'!$J$23:$J$30,0))</f>
        <v>0</v>
      </c>
      <c r="AH25" s="222" t="e">
        <f>IF($AG25&lt;$AK25,$AK25-$AG25,0)</f>
        <v>#N/A</v>
      </c>
      <c r="AI25" s="222" t="e">
        <f>IF($AG25&lt;$AL25,$AL25-$AG25,0)</f>
        <v>#N/A</v>
      </c>
      <c r="AJ25" s="222" t="e">
        <f>IF(OR(E35="",E35="Use ANOP"),AE25,E35)</f>
        <v>#N/A</v>
      </c>
      <c r="AK25" s="222" t="e">
        <f>_xlfn.XLOOKUP(AJ25,'Data validation'!$I$24:$I$29,'Data validation'!$J$24:$J$29)</f>
        <v>#N/A</v>
      </c>
      <c r="AL25" s="222" t="e">
        <f>IF(AK25&gt;4,AK25-2,IF(AK25=1,1,AK25-1))</f>
        <v>#N/A</v>
      </c>
      <c r="AM25" s="222">
        <f>IF(LEN($F35)=1,_xlfn.XLOOKUP(F35,'Data validation'!$I$23:$I$30,'Data validation'!$J$23:$J$30),IF(F35="",0,_xlfn.XLOOKUP(F35,'Data validation'!$A$23:$A$28,'Data validation'!$B$23:$B$28,0))*2+AG25)</f>
        <v>0</v>
      </c>
      <c r="AN25" s="222">
        <f>IF(AM25&lt;0,0,IF(AM25&gt;6,6,AM25))</f>
        <v>0</v>
      </c>
      <c r="AO25" s="222" t="e">
        <f>IF($AN25&lt;$AK25,$AK25-AM25,0)</f>
        <v>#N/A</v>
      </c>
      <c r="AP25" s="222" t="e">
        <f>AH25-AO25</f>
        <v>#N/A</v>
      </c>
      <c r="AQ25" s="222" t="e">
        <f>IF($AN25&lt;$AL25,$AL25-$AN25,0)</f>
        <v>#N/A</v>
      </c>
      <c r="AR25" s="222" t="e">
        <f>AI25-AQ25</f>
        <v>#N/A</v>
      </c>
      <c r="AS25" s="222">
        <f>IF(AM25-AG25&gt;0,1,0)</f>
        <v>0</v>
      </c>
      <c r="AT25" s="222">
        <f>IF(AM25-AG25&lt;0,1,0)</f>
        <v>0</v>
      </c>
      <c r="AU25" s="222" t="e">
        <f>IF(AP25&lt;0,IF(AR25&gt;=0,AC25,""),"")</f>
        <v>#N/A</v>
      </c>
      <c r="AV25" s="221" t="e">
        <f>IF(AR25&lt;0,AC25,"")</f>
        <v>#N/A</v>
      </c>
      <c r="AW25" s="220"/>
      <c r="AX25" s="220"/>
      <c r="BA25" s="250">
        <f>IF(ISBLANK(C25),1,0)</f>
        <v>1</v>
      </c>
      <c r="BB25" s="222"/>
      <c r="BC25" s="251"/>
    </row>
    <row r="26" spans="1:55" ht="16" x14ac:dyDescent="0.35">
      <c r="A26" s="336"/>
      <c r="B26" s="249" t="s">
        <v>54</v>
      </c>
      <c r="C26" s="361"/>
      <c r="D26" s="362"/>
      <c r="E26" s="362"/>
      <c r="F26" s="363"/>
      <c r="J26" s="220"/>
      <c r="K26" s="220"/>
      <c r="Z26" s="220"/>
      <c r="AA26" s="220"/>
      <c r="AB26" s="220"/>
      <c r="AC26" s="235" t="s">
        <v>56</v>
      </c>
      <c r="AD26" s="222" t="e">
        <f>_xlfn.XLOOKUP(C26,'Data validation'!A4:A10,'Data validation'!E4:E10)</f>
        <v>#N/A</v>
      </c>
      <c r="AE26" s="222" t="e">
        <f>_xlfn.XLOOKUP(AF26,'Data validation'!$J$23:$J$30,'Data validation'!$I$23:$I$30)</f>
        <v>#N/A</v>
      </c>
      <c r="AF26" s="222" t="e">
        <f>_xlfn.XLOOKUP(AD26,'Data validation'!$I$23:$I$30,'Data validation'!$J$23:$J$30)</f>
        <v>#N/A</v>
      </c>
      <c r="AG26" s="222">
        <f>IF(C36="",0,_xlfn.XLOOKUP(C36,'Data validation'!$I$24:$I$30,'Data validation'!$J$24:$J$30,0))</f>
        <v>0</v>
      </c>
      <c r="AH26" s="222" t="e">
        <f>IF(AG26&lt;$AK26,$AK26-AG26,0)</f>
        <v>#N/A</v>
      </c>
      <c r="AI26" s="222" t="e">
        <f t="shared" ref="AI26:AI29" si="0">IF($AG26&lt;$AL26,$AL26-$AG26,0)</f>
        <v>#N/A</v>
      </c>
      <c r="AJ26" s="222" t="e">
        <f t="shared" ref="AJ26:AJ29" si="1">IF(OR(E36="",E36="Use ANOP"),AE26,E36)</f>
        <v>#N/A</v>
      </c>
      <c r="AK26" s="222" t="e">
        <f>_xlfn.XLOOKUP(AJ26,'Data validation'!$I$24:$I$29,'Data validation'!$J$24:$J$29)</f>
        <v>#N/A</v>
      </c>
      <c r="AL26" s="222" t="e">
        <f t="shared" ref="AL26:AL29" si="2">IF(AK26&gt;4,AK26-2,IF(AK26=1,1,AK26-1))</f>
        <v>#N/A</v>
      </c>
      <c r="AM26" s="222">
        <f>IF(LEN($F36)=1,_xlfn.XLOOKUP(F36,'Data validation'!$I$23:$I$30,'Data validation'!$J$23:$J$30),IF(F36="",0,_xlfn.XLOOKUP(F36,'Data validation'!$A$23:$A$28,'Data validation'!$B$23:$B$28,0))*2+AG26)</f>
        <v>0</v>
      </c>
      <c r="AN26" s="222">
        <f>IF(AM26&lt;0,0,IF(AM26&gt;6,6,AM26))</f>
        <v>0</v>
      </c>
      <c r="AO26" s="222" t="e">
        <f t="shared" ref="AO26:AO29" si="3">IF(AN26&lt;$AK26,$AK26-AM26,0)</f>
        <v>#N/A</v>
      </c>
      <c r="AP26" s="222" t="e">
        <f>AH26-AO26</f>
        <v>#N/A</v>
      </c>
      <c r="AQ26" s="222" t="e">
        <f t="shared" ref="AQ26:AQ29" si="4">IF($AN26&lt;$AL26,$AL26-$AN26,0)</f>
        <v>#N/A</v>
      </c>
      <c r="AR26" s="222" t="e">
        <f t="shared" ref="AR26:AR29" si="5">AI26-AQ26</f>
        <v>#N/A</v>
      </c>
      <c r="AS26" s="222">
        <f>IF(AM26-AG26&gt;0,1,0)</f>
        <v>0</v>
      </c>
      <c r="AT26" s="222">
        <f>IF(AM26-AG26&lt;0,1,0)</f>
        <v>0</v>
      </c>
      <c r="AU26" s="222" t="e">
        <f t="shared" ref="AU26:AU29" si="6">IF(AP26&lt;0,IF(AR26&gt;=0,AC26,""),"")</f>
        <v>#N/A</v>
      </c>
      <c r="AV26" s="221" t="e">
        <f t="shared" ref="AV26:AV29" si="7">IF(AR26&lt;0,AC26,"")</f>
        <v>#N/A</v>
      </c>
      <c r="AW26" s="220"/>
      <c r="AX26" s="220"/>
      <c r="BA26" s="250">
        <f t="shared" ref="BA26:BA39" si="8">IF(ISBLANK(C26),1,0)</f>
        <v>1</v>
      </c>
      <c r="BB26" s="222"/>
      <c r="BC26" s="251"/>
    </row>
    <row r="27" spans="1:55" ht="15.65" customHeight="1" x14ac:dyDescent="0.35">
      <c r="A27" s="336"/>
      <c r="B27" s="249" t="s">
        <v>57</v>
      </c>
      <c r="C27" s="361"/>
      <c r="D27" s="362"/>
      <c r="E27" s="362"/>
      <c r="F27" s="363"/>
      <c r="J27" s="220"/>
      <c r="K27" s="220"/>
      <c r="Z27" s="220"/>
      <c r="AA27" s="220"/>
      <c r="AB27" s="220"/>
      <c r="AC27" s="235" t="s">
        <v>59</v>
      </c>
      <c r="AD27" s="222" t="e">
        <f>_xlfn.XLOOKUP(C27,'Data validation'!G4:G11,'Data validation'!K4:K11)</f>
        <v>#N/A</v>
      </c>
      <c r="AE27" s="222" t="e">
        <f>_xlfn.XLOOKUP(AF27,'Data validation'!$J$23:$J$30,'Data validation'!$I$23:$I$30)</f>
        <v>#N/A</v>
      </c>
      <c r="AF27" s="222" t="e">
        <f>_xlfn.XLOOKUP(AD27,'Data validation'!$I$23:$I$30,'Data validation'!$J$23:$J$30)</f>
        <v>#N/A</v>
      </c>
      <c r="AG27" s="222">
        <f>IF(C37="",0,_xlfn.XLOOKUP(C37,'Data validation'!$I$24:$I$30,'Data validation'!$J$24:$J$30,0))</f>
        <v>0</v>
      </c>
      <c r="AH27" s="222" t="e">
        <f>IF(AG27&lt;$AK27,$AK27-AG27,0)</f>
        <v>#N/A</v>
      </c>
      <c r="AI27" s="222" t="e">
        <f t="shared" si="0"/>
        <v>#N/A</v>
      </c>
      <c r="AJ27" s="222" t="e">
        <f t="shared" si="1"/>
        <v>#N/A</v>
      </c>
      <c r="AK27" s="222" t="e">
        <f>_xlfn.XLOOKUP(AJ27,'Data validation'!$I$24:$I$29,'Data validation'!$J$24:$J$29)</f>
        <v>#N/A</v>
      </c>
      <c r="AL27" s="222" t="e">
        <f t="shared" si="2"/>
        <v>#N/A</v>
      </c>
      <c r="AM27" s="222">
        <f>IF(LEN($F37)=1,_xlfn.XLOOKUP(F37,'Data validation'!$I$23:$I$30,'Data validation'!$J$23:$J$30),IF(F37="",0,_xlfn.XLOOKUP(F37,'Data validation'!$A$23:$A$28,'Data validation'!$B$23:$B$28,0))*2+AG27)</f>
        <v>0</v>
      </c>
      <c r="AN27" s="222">
        <f>IF(AM27&lt;0,0,IF(AM27&gt;6,6,AM27))</f>
        <v>0</v>
      </c>
      <c r="AO27" s="222" t="e">
        <f t="shared" si="3"/>
        <v>#N/A</v>
      </c>
      <c r="AP27" s="222" t="e">
        <f>AH27-AO27</f>
        <v>#N/A</v>
      </c>
      <c r="AQ27" s="222" t="e">
        <f t="shared" si="4"/>
        <v>#N/A</v>
      </c>
      <c r="AR27" s="222" t="e">
        <f t="shared" si="5"/>
        <v>#N/A</v>
      </c>
      <c r="AS27" s="222">
        <f>IF(AM27-AG27&gt;0,1,0)</f>
        <v>0</v>
      </c>
      <c r="AT27" s="222">
        <f>IF(AM27-AG27&lt;0,1,0)</f>
        <v>0</v>
      </c>
      <c r="AU27" s="222" t="e">
        <f t="shared" si="6"/>
        <v>#N/A</v>
      </c>
      <c r="AV27" s="221" t="e">
        <f t="shared" si="7"/>
        <v>#N/A</v>
      </c>
      <c r="AW27" s="220"/>
      <c r="AX27" s="220"/>
      <c r="BA27" s="250">
        <f t="shared" si="8"/>
        <v>1</v>
      </c>
      <c r="BB27" s="222"/>
      <c r="BC27" s="251"/>
    </row>
    <row r="28" spans="1:55" ht="16" x14ac:dyDescent="0.35">
      <c r="A28" s="336"/>
      <c r="B28" s="249" t="s">
        <v>60</v>
      </c>
      <c r="C28" s="361"/>
      <c r="D28" s="362"/>
      <c r="E28" s="362"/>
      <c r="F28" s="363"/>
      <c r="J28" s="220"/>
      <c r="K28" s="220"/>
      <c r="Z28" s="220"/>
      <c r="AA28" s="220"/>
      <c r="AB28" s="220"/>
      <c r="AC28" s="235" t="s">
        <v>21</v>
      </c>
      <c r="AD28" s="222" t="e">
        <f>_xlfn.XLOOKUP(C28,'Data validation'!M4:M12,'Data validation'!Q4:Q12)</f>
        <v>#N/A</v>
      </c>
      <c r="AE28" s="222" t="e">
        <f>_xlfn.XLOOKUP(AF28,'Data validation'!$J$23:$J$30,'Data validation'!$I$23:$I$30)</f>
        <v>#N/A</v>
      </c>
      <c r="AF28" s="222" t="e">
        <f>IF($F$63="Yes",_xlfn.XLOOKUP(AD28,'Data validation'!$I$23:$I$30,'Data validation'!$J$23:$J$30),IF(_xlfn.XLOOKUP(AD28,'Data validation'!$I$23:$I$30,'Data validation'!$J$23:$J$30)+_xlfn.XLOOKUP($C$30,'Data validation'!$AD$4:$AD$15,'Data validation'!$AF$4:$AF$15)=0,1,_xlfn.XLOOKUP(AD28,'Data validation'!$I$23:$I$30,'Data validation'!$J$23:$J$30)+_xlfn.XLOOKUP($C$30,'Data validation'!$AD$4:$AD$15,'Data validation'!$AF$4:$AF$15)))</f>
        <v>#N/A</v>
      </c>
      <c r="AG28" s="222">
        <f>IF(C38="",0,_xlfn.XLOOKUP(C38,'Data validation'!$I$24:$I$30,'Data validation'!$J$24:$J$30,0))</f>
        <v>0</v>
      </c>
      <c r="AH28" s="222" t="e">
        <f>IF(AG28&lt;$AK28,$AK28-AG28,0)</f>
        <v>#N/A</v>
      </c>
      <c r="AI28" s="222" t="e">
        <f t="shared" si="0"/>
        <v>#N/A</v>
      </c>
      <c r="AJ28" s="222" t="e">
        <f t="shared" si="1"/>
        <v>#N/A</v>
      </c>
      <c r="AK28" s="222" t="e">
        <f>_xlfn.XLOOKUP(AJ28,'Data validation'!$I$24:$I$29,'Data validation'!$J$24:$J$29)</f>
        <v>#N/A</v>
      </c>
      <c r="AL28" s="222" t="e">
        <f t="shared" si="2"/>
        <v>#N/A</v>
      </c>
      <c r="AM28" s="222">
        <f>IF(LEN($F38)=1,_xlfn.XLOOKUP(F38,'Data validation'!$I$23:$I$30,'Data validation'!$J$23:$J$30),IF(F38="",0,_xlfn.XLOOKUP(F38,'Data validation'!$A$23:$A$28,'Data validation'!$B$23:$B$28,0))*2+AG28)</f>
        <v>0</v>
      </c>
      <c r="AN28" s="222">
        <f>IF(AM28&lt;0,0,IF(AM28&gt;6,6,AM28))</f>
        <v>0</v>
      </c>
      <c r="AO28" s="222" t="e">
        <f t="shared" si="3"/>
        <v>#N/A</v>
      </c>
      <c r="AP28" s="222" t="e">
        <f>AH28-AO28</f>
        <v>#N/A</v>
      </c>
      <c r="AQ28" s="222" t="e">
        <f t="shared" si="4"/>
        <v>#N/A</v>
      </c>
      <c r="AR28" s="222" t="e">
        <f t="shared" si="5"/>
        <v>#N/A</v>
      </c>
      <c r="AS28" s="222">
        <f>IF(AM28-AG28&gt;0,1,0)</f>
        <v>0</v>
      </c>
      <c r="AT28" s="222">
        <f>IF(AM28-AG28&lt;0,1,0)</f>
        <v>0</v>
      </c>
      <c r="AU28" s="222" t="e">
        <f t="shared" si="6"/>
        <v>#N/A</v>
      </c>
      <c r="AV28" s="221" t="e">
        <f t="shared" si="7"/>
        <v>#N/A</v>
      </c>
      <c r="AW28" s="220"/>
      <c r="AX28" s="220"/>
      <c r="BA28" s="250">
        <f t="shared" si="8"/>
        <v>1</v>
      </c>
      <c r="BB28" s="222"/>
      <c r="BC28" s="251"/>
    </row>
    <row r="29" spans="1:55" ht="15.65" customHeight="1" x14ac:dyDescent="0.35">
      <c r="A29" s="336"/>
      <c r="B29" s="249" t="s">
        <v>62</v>
      </c>
      <c r="C29" s="361"/>
      <c r="D29" s="362"/>
      <c r="E29" s="362"/>
      <c r="F29" s="363"/>
      <c r="J29" s="220"/>
      <c r="K29" s="220"/>
      <c r="Z29" s="220"/>
      <c r="AA29" s="220"/>
      <c r="AB29" s="220"/>
      <c r="AC29" s="235" t="s">
        <v>64</v>
      </c>
      <c r="AD29" s="222" t="e">
        <f>_xlfn.XLOOKUP(C29,'Data validation'!S4:S9,'Data validation'!W4:W9)</f>
        <v>#N/A</v>
      </c>
      <c r="AE29" s="222" t="e">
        <f>_xlfn.XLOOKUP(AF29,'Data validation'!$J$23:$J$30,'Data validation'!$I$23:$I$30)</f>
        <v>#N/A</v>
      </c>
      <c r="AF29" s="222" t="e">
        <f>IF($F$63="Yes",_xlfn.XLOOKUP(AD29,'Data validation'!$I$23:$I$30,'Data validation'!$J$23:$J$30),IF(C29="Motorway",_xlfn.XLOOKUP(AD29,'Data validation'!$I$23:$I$30,'Data validation'!$J$23:$J$30),IF(_xlfn.XLOOKUP(AD29,'Data validation'!$I$23:$I$30,'Data validation'!$J$23:$J$30)+_xlfn.XLOOKUP($C$30,'Data validation'!$AD$4:$AD$15,'Data validation'!$AF$4:$AF$15)=0,1,_xlfn.XLOOKUP(AD29,'Data validation'!$I$23:$I$30,'Data validation'!$J$23:$J$30)+_xlfn.XLOOKUP($C$30,'Data validation'!$AD$4:$AD$15,'Data validation'!$AF$4:$AF$15))))</f>
        <v>#N/A</v>
      </c>
      <c r="AG29" s="222">
        <f>IF(C39="",0,_xlfn.XLOOKUP(C39,'Data validation'!$I$24:$I$30,'Data validation'!$J$24:$J$30,0))</f>
        <v>0</v>
      </c>
      <c r="AH29" s="222" t="e">
        <f>IF(AG29&lt;$AK29,$AK29-AG29,0)</f>
        <v>#N/A</v>
      </c>
      <c r="AI29" s="222" t="e">
        <f t="shared" si="0"/>
        <v>#N/A</v>
      </c>
      <c r="AJ29" s="222" t="e">
        <f t="shared" si="1"/>
        <v>#N/A</v>
      </c>
      <c r="AK29" s="222" t="e">
        <f>_xlfn.XLOOKUP(AJ29,'Data validation'!$I$24:$I$29,'Data validation'!$J$24:$J$29)</f>
        <v>#N/A</v>
      </c>
      <c r="AL29" s="222" t="e">
        <f t="shared" si="2"/>
        <v>#N/A</v>
      </c>
      <c r="AM29" s="222">
        <f>IF(LEN($F39)=1,_xlfn.XLOOKUP(F39,'Data validation'!$I$23:$I$30,'Data validation'!$J$23:$J$30),IF(F39="",0,_xlfn.XLOOKUP(F39,'Data validation'!$A$23:$A$28,'Data validation'!$B$23:$B$28,0))*2+AG29)</f>
        <v>0</v>
      </c>
      <c r="AN29" s="222">
        <f>IF(AM29&lt;0,0,IF(AM29&gt;6,6,AM29))</f>
        <v>0</v>
      </c>
      <c r="AO29" s="222" t="e">
        <f t="shared" si="3"/>
        <v>#N/A</v>
      </c>
      <c r="AP29" s="222" t="e">
        <f>AH29-AO29</f>
        <v>#N/A</v>
      </c>
      <c r="AQ29" s="222" t="e">
        <f t="shared" si="4"/>
        <v>#N/A</v>
      </c>
      <c r="AR29" s="222" t="e">
        <f t="shared" si="5"/>
        <v>#N/A</v>
      </c>
      <c r="AS29" s="222">
        <f>IF(AM29-AG29&gt;0,1,0)</f>
        <v>0</v>
      </c>
      <c r="AT29" s="222">
        <f>IF(AM29-AG29&lt;0,1,0)</f>
        <v>0</v>
      </c>
      <c r="AU29" s="222" t="e">
        <f t="shared" si="6"/>
        <v>#N/A</v>
      </c>
      <c r="AV29" s="221" t="e">
        <f t="shared" si="7"/>
        <v>#N/A</v>
      </c>
      <c r="AW29" s="220"/>
      <c r="AX29" s="220"/>
      <c r="BA29" s="250">
        <f t="shared" si="8"/>
        <v>1</v>
      </c>
      <c r="BB29" s="222"/>
      <c r="BC29" s="251"/>
    </row>
    <row r="30" spans="1:55" ht="31.25" customHeight="1" x14ac:dyDescent="0.35">
      <c r="A30" s="351"/>
      <c r="B30" s="252" t="s">
        <v>65</v>
      </c>
      <c r="C30" s="367"/>
      <c r="D30" s="368"/>
      <c r="E30" s="368"/>
      <c r="F30" s="369"/>
      <c r="J30" s="220"/>
      <c r="K30" s="220"/>
      <c r="N30" s="220"/>
      <c r="Z30" s="220"/>
      <c r="AA30" s="220"/>
      <c r="AB30" s="220"/>
      <c r="AC30" s="235" t="s">
        <v>27</v>
      </c>
      <c r="AD30" s="222">
        <f>_xlfn.XLOOKUP(C30,'Data validation'!Y9:Y12,'Data validation'!AB9:AB12)</f>
        <v>0</v>
      </c>
      <c r="AE30" s="222"/>
      <c r="AF30" s="222"/>
      <c r="AG30" s="222">
        <f>IF(C40="",0,_xlfn.XLOOKUP(C40,'Data validation'!$I$24:$I$30,'Data validation'!$J$24:$J$30,0))</f>
        <v>0</v>
      </c>
      <c r="AN30" s="222">
        <f>IF(F40="",0,_xlfn.XLOOKUP(F40,'Data validation'!$I$23:$I$30,'Data validation'!$J$23:$J$30,0))</f>
        <v>0</v>
      </c>
      <c r="AV30" s="220"/>
      <c r="AW30" s="220"/>
      <c r="AX30" s="220"/>
      <c r="BA30" s="250">
        <f t="shared" si="8"/>
        <v>1</v>
      </c>
      <c r="BB30" s="222"/>
      <c r="BC30" s="251"/>
    </row>
    <row r="31" spans="1:55" ht="15" hidden="1" customHeight="1" x14ac:dyDescent="0.35">
      <c r="A31" s="253"/>
      <c r="B31" s="254" t="s">
        <v>27</v>
      </c>
      <c r="C31" s="364" t="s">
        <v>67</v>
      </c>
      <c r="D31" s="365"/>
      <c r="E31" s="365"/>
      <c r="F31" s="366"/>
      <c r="J31" s="220"/>
      <c r="K31" s="220"/>
      <c r="N31" s="220"/>
      <c r="Z31" s="220"/>
      <c r="AA31" s="220"/>
      <c r="AB31" s="220"/>
      <c r="AC31" s="235" t="s">
        <v>28</v>
      </c>
      <c r="AD31" s="222" t="e">
        <f>_xlfn.XLOOKUP(C31,'Data validation'!Y10:Y13,'Data validation'!AB10:AB13)</f>
        <v>#N/A</v>
      </c>
      <c r="AE31" s="222"/>
      <c r="AF31" s="222"/>
      <c r="AG31" s="222">
        <f>IF(C41="",0,_xlfn.XLOOKUP(C41,'Data validation'!$I$24:$I$30,'Data validation'!$J$24:$J$30,0))</f>
        <v>0</v>
      </c>
      <c r="AH31" s="222"/>
      <c r="AI31" s="222"/>
      <c r="AJ31" s="222"/>
      <c r="AK31" s="222"/>
      <c r="AL31" s="222"/>
      <c r="AM31" s="222"/>
      <c r="AN31" s="222">
        <f>IF(F41="",0,_xlfn.XLOOKUP(F41,'Data validation'!$I$23:$I$30,'Data validation'!$J$23:$J$30,0))</f>
        <v>0</v>
      </c>
      <c r="AV31" s="220"/>
      <c r="AW31" s="220"/>
      <c r="AX31" s="220"/>
      <c r="BA31" s="250">
        <f t="shared" si="8"/>
        <v>0</v>
      </c>
      <c r="BB31" s="222"/>
      <c r="BC31" s="251"/>
    </row>
    <row r="32" spans="1:55" ht="15" hidden="1" customHeight="1" x14ac:dyDescent="0.35">
      <c r="A32" s="253"/>
      <c r="B32" s="254" t="s">
        <v>28</v>
      </c>
      <c r="C32" s="364" t="s">
        <v>67</v>
      </c>
      <c r="D32" s="365"/>
      <c r="E32" s="365"/>
      <c r="F32" s="366"/>
      <c r="J32" s="220"/>
      <c r="K32" s="220"/>
      <c r="N32" s="220"/>
      <c r="Z32" s="220"/>
      <c r="AA32" s="220"/>
      <c r="AB32" s="220"/>
      <c r="AC32" s="235" t="s">
        <v>68</v>
      </c>
      <c r="AD32" s="220"/>
      <c r="AF32" s="235"/>
      <c r="AG32" s="222"/>
      <c r="AH32" s="222"/>
      <c r="AI32" s="222"/>
      <c r="AJ32" s="222"/>
      <c r="AK32" s="222"/>
      <c r="AL32" s="222"/>
      <c r="AM32" s="222"/>
      <c r="AN32" s="221"/>
      <c r="AP32" s="255"/>
      <c r="AQ32" s="255"/>
      <c r="AR32" s="255"/>
      <c r="AV32" s="220"/>
      <c r="AW32" s="220"/>
      <c r="BA32" s="250">
        <f t="shared" si="8"/>
        <v>0</v>
      </c>
      <c r="BB32" s="222"/>
      <c r="BC32" s="251"/>
    </row>
    <row r="33" spans="1:55" ht="14.4" customHeight="1" x14ac:dyDescent="0.35">
      <c r="A33" s="236"/>
      <c r="B33" s="236"/>
      <c r="C33" s="236"/>
      <c r="D33" s="236"/>
      <c r="E33" s="236"/>
      <c r="F33" s="236"/>
      <c r="J33" s="220"/>
      <c r="Z33" s="220"/>
      <c r="AA33" s="220"/>
      <c r="AB33" s="220"/>
      <c r="AC33" s="256" t="s">
        <v>69</v>
      </c>
      <c r="AD33" s="257"/>
      <c r="AE33" s="219"/>
      <c r="AF33" s="219"/>
      <c r="AG33" s="219"/>
      <c r="AH33" s="255" t="e">
        <f>SUM(AH25:AH32)</f>
        <v>#N/A</v>
      </c>
      <c r="AI33" s="255"/>
      <c r="AJ33" s="255"/>
      <c r="AK33" s="255"/>
      <c r="AL33" s="255"/>
      <c r="AM33" s="255"/>
      <c r="AN33" s="255"/>
      <c r="AO33" s="255" t="e">
        <f>SUM(AO25:AO32)</f>
        <v>#N/A</v>
      </c>
      <c r="AP33" s="258" t="e">
        <f>SUM(AP25:AP32)</f>
        <v>#N/A</v>
      </c>
      <c r="AQ33" s="258"/>
      <c r="AR33" s="258"/>
      <c r="AS33" s="258">
        <f>SUM(AS25:AS32)</f>
        <v>0</v>
      </c>
      <c r="AT33" s="258">
        <f>SUM(AT25:AT32)</f>
        <v>0</v>
      </c>
      <c r="AU33" s="286" t="e">
        <f>CONCATENATE(AU25,"   ",AU26,"   ",AU27,"   ",AU28,"   ",AU29)</f>
        <v>#N/A</v>
      </c>
      <c r="AV33" s="286" t="e">
        <f>CONCATENATE(AV25,"   ",AV26,"   ",AV27,"   ",AV28,"   ",AV29)</f>
        <v>#N/A</v>
      </c>
      <c r="AX33" s="383" t="s">
        <v>70</v>
      </c>
      <c r="AY33" s="383"/>
      <c r="BA33" s="250"/>
      <c r="BB33" s="222"/>
      <c r="BC33" s="251"/>
    </row>
    <row r="34" spans="1:55" ht="57" customHeight="1" x14ac:dyDescent="0.35">
      <c r="A34" s="335" t="s">
        <v>71</v>
      </c>
      <c r="B34" s="259"/>
      <c r="C34" s="260" t="s">
        <v>72</v>
      </c>
      <c r="D34" s="261" t="s">
        <v>73</v>
      </c>
      <c r="E34" s="260" t="s">
        <v>74</v>
      </c>
      <c r="F34" s="260" t="s">
        <v>75</v>
      </c>
      <c r="G34" s="242"/>
      <c r="J34" s="220"/>
      <c r="L34" s="222"/>
      <c r="M34" s="222"/>
      <c r="Z34" s="220"/>
      <c r="AA34" s="220"/>
      <c r="AB34" s="220"/>
      <c r="AC34" s="220"/>
      <c r="AD34" s="220"/>
      <c r="AF34" s="220"/>
      <c r="AG34" s="220"/>
      <c r="AH34" s="220"/>
      <c r="AI34" s="220"/>
      <c r="AJ34" s="220"/>
      <c r="AK34" s="220"/>
      <c r="AL34" s="220"/>
      <c r="AM34" s="220"/>
      <c r="AN34" s="220"/>
      <c r="AO34" s="220"/>
      <c r="AP34" s="255" t="e">
        <f>MIN(AP25:AP29)</f>
        <v>#N/A</v>
      </c>
      <c r="AQ34" s="255"/>
      <c r="AR34" s="255"/>
      <c r="AS34" s="220"/>
      <c r="AT34" s="220"/>
      <c r="AU34" s="220"/>
      <c r="AV34" s="220"/>
      <c r="AW34" s="218" t="s">
        <v>76</v>
      </c>
      <c r="AX34" s="218" t="s">
        <v>77</v>
      </c>
      <c r="BA34" s="250"/>
      <c r="BB34" s="222"/>
      <c r="BC34" s="251"/>
    </row>
    <row r="35" spans="1:55" ht="15.75" customHeight="1" x14ac:dyDescent="0.35">
      <c r="A35" s="336"/>
      <c r="B35" s="262" t="s">
        <v>53</v>
      </c>
      <c r="C35" s="263"/>
      <c r="D35" s="264" t="str">
        <f>IF(ISERROR(_xlfn.XLOOKUP(AE25,'Data validation'!$S$23:$S$28,'Data validation'!$T$23:$T$28)),"",_xlfn.XLOOKUP(AE25,'Data validation'!$S$23:$S$28,'Data validation'!$T$23:$T$28))</f>
        <v/>
      </c>
      <c r="E35" s="263"/>
      <c r="F35" s="265"/>
      <c r="U35" s="220"/>
      <c r="V35" s="220"/>
      <c r="W35" s="220"/>
      <c r="X35" s="220"/>
      <c r="Y35" s="220"/>
      <c r="Z35" s="220"/>
      <c r="AA35" s="220"/>
      <c r="AB35" s="220"/>
      <c r="AC35" s="220"/>
      <c r="AD35" s="220"/>
      <c r="AF35" s="220"/>
      <c r="AG35" s="220"/>
      <c r="AH35" s="220"/>
      <c r="AI35" s="220"/>
      <c r="AJ35" s="220"/>
      <c r="AK35" s="220"/>
      <c r="AL35" s="220"/>
      <c r="AM35" s="220"/>
      <c r="AN35" s="220"/>
      <c r="AO35" s="220"/>
      <c r="AP35" s="220"/>
      <c r="AQ35" s="220"/>
      <c r="AR35" s="220"/>
      <c r="AS35" s="220"/>
      <c r="AT35" s="220"/>
      <c r="AU35" s="220"/>
      <c r="AV35" s="220"/>
      <c r="AW35" s="220">
        <f>IF(AN25-AG25&lt;0,AG25-AN25,0)</f>
        <v>0</v>
      </c>
      <c r="AX35" s="220">
        <f>IF(AN25-AG25&gt;0,AN25-AG25,0)</f>
        <v>0</v>
      </c>
      <c r="BA35" s="250">
        <f t="shared" si="8"/>
        <v>1</v>
      </c>
      <c r="BB35" s="222">
        <f t="shared" ref="BB35:BB39" si="9">IF(ISBLANK(D35),1,0)</f>
        <v>0</v>
      </c>
      <c r="BC35" s="251">
        <f t="shared" ref="BC35:BC39" si="10">IF(ISBLANK(F35),1,0)</f>
        <v>1</v>
      </c>
    </row>
    <row r="36" spans="1:55" ht="15.75" customHeight="1" x14ac:dyDescent="0.35">
      <c r="A36" s="336"/>
      <c r="B36" s="262" t="s">
        <v>56</v>
      </c>
      <c r="C36" s="263"/>
      <c r="D36" s="264" t="str">
        <f>IF(ISERROR(_xlfn.XLOOKUP(AE26,'Data validation'!$S$23:$S$28,'Data validation'!$T$23:$T$28)),"",_xlfn.XLOOKUP(AE26,'Data validation'!$S$23:$S$28,'Data validation'!$T$23:$T$28))</f>
        <v/>
      </c>
      <c r="E36" s="263"/>
      <c r="F36" s="265"/>
      <c r="U36" s="220"/>
      <c r="V36" s="220"/>
      <c r="W36" s="220"/>
      <c r="X36" s="220"/>
      <c r="Y36" s="220"/>
      <c r="Z36" s="220"/>
      <c r="AA36" s="220"/>
      <c r="AB36" s="220"/>
      <c r="AC36" s="220"/>
      <c r="AD36" s="220"/>
      <c r="AF36" s="220"/>
      <c r="AG36" s="220"/>
      <c r="AH36" s="220"/>
      <c r="AI36" s="220"/>
      <c r="AJ36" s="220"/>
      <c r="AK36" s="220"/>
      <c r="AL36" s="220"/>
      <c r="AM36" s="220"/>
      <c r="AN36" s="220"/>
      <c r="AO36" s="220"/>
      <c r="AP36" s="220"/>
      <c r="AQ36" s="220"/>
      <c r="AR36" s="220"/>
      <c r="AS36" s="220"/>
      <c r="AT36" s="220"/>
      <c r="AU36" s="220"/>
      <c r="AV36" s="220"/>
      <c r="AW36" s="220">
        <f>IF(AN26-AG26&lt;0,AG26-AN26,0)</f>
        <v>0</v>
      </c>
      <c r="AX36" s="220">
        <f>IF(AN26-AG26&gt;0,AN26-AG26,0)</f>
        <v>0</v>
      </c>
      <c r="BA36" s="250">
        <f t="shared" si="8"/>
        <v>1</v>
      </c>
      <c r="BB36" s="222">
        <f t="shared" si="9"/>
        <v>0</v>
      </c>
      <c r="BC36" s="251">
        <f t="shared" si="10"/>
        <v>1</v>
      </c>
    </row>
    <row r="37" spans="1:55" ht="15.75" customHeight="1" x14ac:dyDescent="0.35">
      <c r="A37" s="336"/>
      <c r="B37" s="262" t="s">
        <v>59</v>
      </c>
      <c r="C37" s="263"/>
      <c r="D37" s="264" t="str">
        <f>IF(ISERROR(_xlfn.XLOOKUP(AE27,'Data validation'!$S$23:$S$28,'Data validation'!$T$23:$T$28)),"",_xlfn.XLOOKUP(AE27,'Data validation'!$S$23:$S$28,'Data validation'!$T$23:$T$28))</f>
        <v/>
      </c>
      <c r="E37" s="263"/>
      <c r="F37" s="265"/>
      <c r="H37" s="411" t="s">
        <v>82</v>
      </c>
      <c r="I37" s="411"/>
      <c r="J37" s="412" t="str">
        <f>IF(BC24="Incomplete","The Fit Assessment Result will show here once all cells are filled out",_xlfn.XLOOKUP(AE62,'Data validation'!$D$23:$D$25,'Data validation'!$C$23:$C$25,""))</f>
        <v>The Fit Assessment Result will show here once all cells are filled out</v>
      </c>
      <c r="K37" s="412"/>
      <c r="L37" s="412"/>
      <c r="M37" s="412"/>
      <c r="N37" s="412"/>
      <c r="O37" s="412"/>
      <c r="U37" s="220"/>
      <c r="V37" s="220"/>
      <c r="W37" s="220"/>
      <c r="X37" s="220"/>
      <c r="Y37" s="220"/>
      <c r="Z37" s="220"/>
      <c r="AA37" s="220"/>
      <c r="AB37" s="220"/>
      <c r="AC37" s="220"/>
      <c r="AD37" s="220"/>
      <c r="AF37" s="220"/>
      <c r="AG37" s="220"/>
      <c r="AH37" s="220"/>
      <c r="AI37" s="220"/>
      <c r="AJ37" s="220"/>
      <c r="AK37" s="220"/>
      <c r="AL37" s="220"/>
      <c r="AM37" s="220"/>
      <c r="AN37" s="220"/>
      <c r="AO37" s="220"/>
      <c r="AP37" s="220"/>
      <c r="AQ37" s="220"/>
      <c r="AR37" s="220"/>
      <c r="AS37" s="220"/>
      <c r="AT37" s="220"/>
      <c r="AU37" s="220"/>
      <c r="AV37" s="220"/>
      <c r="AW37" s="220">
        <f>IF(AN27-AG27&lt;0,AG27-AN27,0)</f>
        <v>0</v>
      </c>
      <c r="AX37" s="220">
        <f>IF(AN27-AG27&gt;0,AN27-AG27,0)</f>
        <v>0</v>
      </c>
      <c r="BA37" s="250">
        <f t="shared" si="8"/>
        <v>1</v>
      </c>
      <c r="BB37" s="222">
        <f t="shared" si="9"/>
        <v>0</v>
      </c>
      <c r="BC37" s="251">
        <f t="shared" si="10"/>
        <v>1</v>
      </c>
    </row>
    <row r="38" spans="1:55" ht="15.75" customHeight="1" x14ac:dyDescent="0.35">
      <c r="A38" s="336"/>
      <c r="B38" s="262" t="s">
        <v>21</v>
      </c>
      <c r="C38" s="263"/>
      <c r="D38" s="264" t="str">
        <f>IF(ISERROR(_xlfn.XLOOKUP(AE28,'Data validation'!$S$23:$S$28,'Data validation'!$T$23:$T$28)),"",_xlfn.XLOOKUP(AE28,'Data validation'!$S$23:$S$28,'Data validation'!$T$23:$T$28))</f>
        <v/>
      </c>
      <c r="E38" s="263"/>
      <c r="F38" s="265"/>
      <c r="H38" s="411"/>
      <c r="I38" s="411"/>
      <c r="J38" s="412"/>
      <c r="K38" s="412"/>
      <c r="L38" s="412"/>
      <c r="M38" s="412"/>
      <c r="N38" s="412"/>
      <c r="O38" s="412"/>
      <c r="Z38" s="220"/>
      <c r="AA38" s="220"/>
      <c r="AB38" s="220"/>
      <c r="AC38" s="220"/>
      <c r="AD38" s="220"/>
      <c r="AF38" s="220"/>
      <c r="AG38" s="220"/>
      <c r="AH38" s="220"/>
      <c r="AI38" s="220"/>
      <c r="AJ38" s="220"/>
      <c r="AK38" s="220"/>
      <c r="AL38" s="220"/>
      <c r="AM38" s="220"/>
      <c r="AN38" s="220"/>
      <c r="AO38" s="220"/>
      <c r="AP38" s="220"/>
      <c r="AQ38" s="220"/>
      <c r="AR38" s="220"/>
      <c r="AS38" s="220"/>
      <c r="AT38" s="220"/>
      <c r="AU38" s="220"/>
      <c r="AV38" s="220"/>
      <c r="AW38" s="220">
        <f>IF(AN28-AG28&lt;0,AG28-AN28,0)</f>
        <v>0</v>
      </c>
      <c r="AX38" s="220">
        <f>IF(AN28-AG28&gt;0,AN28-AG28,0)</f>
        <v>0</v>
      </c>
      <c r="BA38" s="250">
        <f t="shared" si="8"/>
        <v>1</v>
      </c>
      <c r="BB38" s="222">
        <f t="shared" si="9"/>
        <v>0</v>
      </c>
      <c r="BC38" s="251">
        <f t="shared" si="10"/>
        <v>1</v>
      </c>
    </row>
    <row r="39" spans="1:55" ht="16" x14ac:dyDescent="0.35">
      <c r="A39" s="351"/>
      <c r="B39" s="262" t="s">
        <v>64</v>
      </c>
      <c r="C39" s="263"/>
      <c r="D39" s="264" t="str">
        <f>IF(ISERROR(_xlfn.XLOOKUP(AE29,'Data validation'!$S$23:$S$28,'Data validation'!$T$23:$T$28)),"",_xlfn.XLOOKUP(AE29,'Data validation'!$S$23:$S$28,'Data validation'!$T$23:$T$28))</f>
        <v/>
      </c>
      <c r="E39" s="263"/>
      <c r="F39" s="265"/>
      <c r="H39" s="411"/>
      <c r="I39" s="411"/>
      <c r="J39" s="412"/>
      <c r="K39" s="412"/>
      <c r="L39" s="412"/>
      <c r="M39" s="412"/>
      <c r="N39" s="412"/>
      <c r="O39" s="412"/>
      <c r="Z39" s="220"/>
      <c r="AA39" s="220"/>
      <c r="AB39" s="220"/>
      <c r="AC39" s="220"/>
      <c r="AD39" s="220"/>
      <c r="AF39" s="220"/>
      <c r="AG39" s="220"/>
      <c r="AH39" s="220"/>
      <c r="AI39" s="220"/>
      <c r="AJ39" s="220"/>
      <c r="AK39" s="220"/>
      <c r="AL39" s="220"/>
      <c r="AM39" s="220"/>
      <c r="AN39" s="220"/>
      <c r="AO39" s="220"/>
      <c r="AP39" s="220"/>
      <c r="AQ39" s="220"/>
      <c r="AR39" s="220"/>
      <c r="AS39" s="220"/>
      <c r="AT39" s="220"/>
      <c r="AU39" s="220"/>
      <c r="AV39" s="220"/>
      <c r="AW39" s="220">
        <f>IF(AN29-AG29&lt;0,AG29-AN29,0)</f>
        <v>0</v>
      </c>
      <c r="AX39" s="220">
        <f>IF(AN29-AG29&gt;0,AN29-AG29,0)</f>
        <v>0</v>
      </c>
      <c r="BA39" s="266">
        <f t="shared" si="8"/>
        <v>1</v>
      </c>
      <c r="BB39" s="267">
        <f t="shared" si="9"/>
        <v>0</v>
      </c>
      <c r="BC39" s="268">
        <f t="shared" si="10"/>
        <v>1</v>
      </c>
    </row>
    <row r="40" spans="1:55" ht="15.75" hidden="1" customHeight="1" x14ac:dyDescent="0.35">
      <c r="A40" s="253"/>
      <c r="B40" s="269" t="s">
        <v>84</v>
      </c>
      <c r="C40" s="270"/>
      <c r="D40" s="270"/>
      <c r="E40" s="270"/>
      <c r="F40" s="270"/>
      <c r="H40" s="271"/>
      <c r="Z40" s="220"/>
      <c r="AA40" s="220"/>
      <c r="AB40" s="220"/>
      <c r="AC40" s="220"/>
      <c r="AD40" s="220"/>
      <c r="AF40" s="220"/>
      <c r="AG40" s="220"/>
      <c r="AH40" s="220"/>
      <c r="AI40" s="220"/>
      <c r="AJ40" s="220"/>
      <c r="AK40" s="220"/>
      <c r="AL40" s="220"/>
      <c r="AM40" s="220"/>
      <c r="AN40" s="220"/>
      <c r="AO40" s="220"/>
      <c r="AP40" s="220"/>
      <c r="AQ40" s="220"/>
      <c r="AR40" s="220"/>
      <c r="AS40" s="220"/>
      <c r="AT40" s="220"/>
      <c r="AU40" s="220"/>
      <c r="AV40" s="220"/>
      <c r="AW40" s="272">
        <f t="shared" ref="AW40:AW41" si="11">IF(AV40-AG30&lt;0,AG30-AV40,0)</f>
        <v>0</v>
      </c>
      <c r="AX40" s="272">
        <f t="shared" ref="AX40:AX41" si="12">IF(AV40-AG30&gt;0,AV40-AG30,0)</f>
        <v>0</v>
      </c>
      <c r="AY40" s="273"/>
    </row>
    <row r="41" spans="1:55" ht="15.75" hidden="1" customHeight="1" x14ac:dyDescent="0.35">
      <c r="A41" s="253"/>
      <c r="B41" s="269" t="s">
        <v>85</v>
      </c>
      <c r="C41" s="270"/>
      <c r="D41" s="270"/>
      <c r="E41" s="270"/>
      <c r="F41" s="270"/>
      <c r="H41" s="271"/>
      <c r="Z41" s="220"/>
      <c r="AA41" s="220"/>
      <c r="AB41" s="220"/>
      <c r="AC41" s="220"/>
      <c r="AD41" s="220"/>
      <c r="AF41" s="220"/>
      <c r="AG41" s="220"/>
      <c r="AH41" s="220"/>
      <c r="AI41" s="220"/>
      <c r="AJ41" s="220"/>
      <c r="AK41" s="220"/>
      <c r="AL41" s="220"/>
      <c r="AM41" s="220"/>
      <c r="AN41" s="220"/>
      <c r="AO41" s="220"/>
      <c r="AP41" s="220"/>
      <c r="AQ41" s="220"/>
      <c r="AR41" s="220"/>
      <c r="AS41" s="220"/>
      <c r="AT41" s="220"/>
      <c r="AU41" s="220"/>
      <c r="AV41" s="220"/>
      <c r="AW41" s="272">
        <f t="shared" si="11"/>
        <v>0</v>
      </c>
      <c r="AX41" s="272">
        <f t="shared" si="12"/>
        <v>0</v>
      </c>
      <c r="AY41" s="273"/>
    </row>
    <row r="42" spans="1:55" hidden="1" x14ac:dyDescent="0.35">
      <c r="Z42" s="220"/>
      <c r="AA42" s="220"/>
      <c r="AB42" s="220"/>
      <c r="AC42" s="220"/>
      <c r="AD42" s="220"/>
      <c r="AF42" s="220"/>
      <c r="AG42" s="220"/>
      <c r="AH42" s="220"/>
      <c r="AI42" s="220"/>
      <c r="AJ42" s="220"/>
      <c r="AK42" s="220"/>
      <c r="AL42" s="220"/>
      <c r="AM42" s="220"/>
      <c r="AN42" s="220"/>
      <c r="AO42" s="220"/>
      <c r="AP42" s="220"/>
      <c r="AQ42" s="220"/>
      <c r="AR42" s="220"/>
      <c r="AS42" s="220"/>
      <c r="AT42" s="220"/>
      <c r="AU42" s="220"/>
      <c r="AV42" s="220"/>
      <c r="AW42" s="274"/>
      <c r="AX42" s="274"/>
      <c r="AY42" s="274"/>
      <c r="AZ42" s="222"/>
      <c r="BA42" s="222"/>
      <c r="BB42" s="220"/>
      <c r="BC42" s="220"/>
    </row>
    <row r="43" spans="1:55" ht="46.25" customHeight="1" x14ac:dyDescent="0.35">
      <c r="J43" s="354" t="str">
        <f>'Results - tabular format'!C11</f>
        <v/>
      </c>
      <c r="K43" s="354"/>
      <c r="L43" s="354"/>
      <c r="M43" s="354"/>
      <c r="N43" s="354"/>
      <c r="O43" s="354"/>
      <c r="Z43" s="220"/>
      <c r="AA43" s="220"/>
      <c r="AB43" s="220"/>
      <c r="AC43" s="220"/>
      <c r="AD43" s="220"/>
      <c r="AF43" s="220"/>
      <c r="AG43" s="220"/>
      <c r="AH43" s="220"/>
      <c r="AI43" s="220"/>
      <c r="AJ43" s="220"/>
      <c r="AK43" s="220"/>
      <c r="AL43" s="220"/>
      <c r="AM43" s="220"/>
      <c r="AN43" s="220"/>
      <c r="AO43" s="220"/>
      <c r="AP43" s="220"/>
      <c r="AQ43" s="220"/>
      <c r="AR43" s="220"/>
      <c r="AS43" s="220"/>
      <c r="AT43" s="220"/>
      <c r="AU43" s="220"/>
      <c r="AV43" s="220"/>
      <c r="AX43" s="220"/>
      <c r="AY43" s="220"/>
      <c r="AZ43" s="220"/>
    </row>
    <row r="44" spans="1:55" ht="48.65" customHeight="1" x14ac:dyDescent="0.35">
      <c r="A44" s="352" t="s">
        <v>86</v>
      </c>
      <c r="B44" s="353"/>
      <c r="C44" s="294" t="s">
        <v>87</v>
      </c>
      <c r="D44" s="355" t="s">
        <v>88</v>
      </c>
      <c r="E44" s="356"/>
      <c r="F44" s="356"/>
      <c r="G44" s="356"/>
      <c r="H44" s="357"/>
      <c r="I44" s="385" t="s">
        <v>89</v>
      </c>
      <c r="J44" s="388"/>
      <c r="K44" s="355" t="s">
        <v>90</v>
      </c>
      <c r="L44" s="356"/>
      <c r="M44" s="356"/>
      <c r="N44" s="356"/>
      <c r="O44" s="357"/>
      <c r="Z44" s="220"/>
      <c r="AA44" s="220"/>
      <c r="AB44" s="220"/>
      <c r="AC44" s="220"/>
      <c r="AD44" s="220"/>
      <c r="AF44" s="220"/>
      <c r="AG44" s="220"/>
      <c r="AH44" s="220"/>
      <c r="AI44" s="220"/>
      <c r="AJ44" s="220"/>
      <c r="AK44" s="220"/>
      <c r="AL44" s="220"/>
      <c r="AM44" s="220"/>
      <c r="AN44" s="220"/>
      <c r="AO44" s="220"/>
      <c r="AP44" s="220"/>
      <c r="AQ44" s="220"/>
      <c r="AR44" s="220"/>
      <c r="AS44" s="220"/>
      <c r="AT44" s="220"/>
      <c r="AU44" s="220"/>
      <c r="AV44" s="220"/>
      <c r="AX44" s="220"/>
      <c r="AY44" s="220"/>
      <c r="AZ44" s="220"/>
    </row>
    <row r="45" spans="1:55" ht="47" customHeight="1" x14ac:dyDescent="0.35">
      <c r="A45" s="292"/>
      <c r="B45" s="295" t="s">
        <v>53</v>
      </c>
      <c r="C45" s="293" t="str">
        <f>IF(C35&lt;&gt;"",C35,"")</f>
        <v/>
      </c>
      <c r="D45" s="380"/>
      <c r="E45" s="381"/>
      <c r="F45" s="381"/>
      <c r="G45" s="381"/>
      <c r="H45" s="382"/>
      <c r="I45" s="386" t="str">
        <f>IF(F35&lt;&gt;"",F35,"")</f>
        <v/>
      </c>
      <c r="J45" s="387"/>
      <c r="K45" s="380"/>
      <c r="L45" s="381"/>
      <c r="M45" s="381"/>
      <c r="N45" s="381"/>
      <c r="O45" s="382"/>
      <c r="Z45" s="220"/>
      <c r="AA45" s="220"/>
      <c r="AB45" s="220"/>
      <c r="AC45" s="220"/>
      <c r="AD45" s="220"/>
      <c r="AF45" s="220"/>
      <c r="AG45" s="220"/>
      <c r="AH45" s="220"/>
      <c r="AI45" s="220"/>
      <c r="AJ45" s="220"/>
      <c r="AK45" s="220"/>
      <c r="AL45" s="220"/>
      <c r="AM45" s="220"/>
      <c r="AN45" s="220"/>
      <c r="AO45" s="220"/>
      <c r="AP45" s="220"/>
      <c r="AQ45" s="220"/>
      <c r="AR45" s="220"/>
      <c r="AS45" s="220"/>
      <c r="AT45" s="220"/>
      <c r="AU45" s="220"/>
      <c r="AV45" s="220"/>
      <c r="AX45" s="220"/>
      <c r="AY45" s="220"/>
      <c r="AZ45" s="220"/>
    </row>
    <row r="46" spans="1:55" ht="30" customHeight="1" x14ac:dyDescent="0.35">
      <c r="A46" s="292"/>
      <c r="B46" s="295" t="s">
        <v>91</v>
      </c>
      <c r="C46" s="293" t="str">
        <f t="shared" ref="C46:C49" si="13">IF(C36&lt;&gt;"",C36,"")</f>
        <v/>
      </c>
      <c r="D46" s="380"/>
      <c r="E46" s="381"/>
      <c r="F46" s="381"/>
      <c r="G46" s="381"/>
      <c r="H46" s="382"/>
      <c r="I46" s="386" t="str">
        <f t="shared" ref="I46:I49" si="14">IF(F36&lt;&gt;"",F36,"")</f>
        <v/>
      </c>
      <c r="J46" s="387"/>
      <c r="K46" s="380"/>
      <c r="L46" s="381"/>
      <c r="M46" s="381"/>
      <c r="N46" s="381"/>
      <c r="O46" s="382"/>
      <c r="Z46" s="220"/>
      <c r="AA46" s="220"/>
      <c r="AB46" s="220"/>
      <c r="AC46" s="220"/>
      <c r="AD46" s="220"/>
      <c r="AF46" s="220"/>
      <c r="AG46" s="220"/>
      <c r="AH46" s="220"/>
      <c r="AI46" s="220"/>
      <c r="AJ46" s="220"/>
      <c r="AK46" s="220"/>
      <c r="AL46" s="220"/>
      <c r="AM46" s="220"/>
      <c r="AN46" s="220"/>
      <c r="AO46" s="220"/>
      <c r="AP46" s="220"/>
      <c r="AQ46" s="220"/>
      <c r="AR46" s="220"/>
      <c r="AS46" s="220"/>
      <c r="AT46" s="220"/>
      <c r="AU46" s="220"/>
      <c r="AV46" s="220"/>
      <c r="AX46" s="220"/>
      <c r="AY46" s="220"/>
      <c r="AZ46" s="220"/>
    </row>
    <row r="47" spans="1:55" ht="30" customHeight="1" x14ac:dyDescent="0.35">
      <c r="A47" s="292"/>
      <c r="B47" s="295" t="s">
        <v>59</v>
      </c>
      <c r="C47" s="293" t="str">
        <f t="shared" si="13"/>
        <v/>
      </c>
      <c r="D47" s="380"/>
      <c r="E47" s="381"/>
      <c r="F47" s="381"/>
      <c r="G47" s="381"/>
      <c r="H47" s="382"/>
      <c r="I47" s="386" t="str">
        <f t="shared" si="14"/>
        <v/>
      </c>
      <c r="J47" s="387"/>
      <c r="K47" s="380"/>
      <c r="L47" s="381"/>
      <c r="M47" s="381"/>
      <c r="N47" s="381"/>
      <c r="O47" s="382"/>
      <c r="Z47" s="220"/>
      <c r="AA47" s="220"/>
      <c r="AB47" s="220"/>
      <c r="AC47" s="220"/>
      <c r="AD47" s="220"/>
      <c r="AF47" s="220"/>
      <c r="AG47" s="220"/>
      <c r="AH47" s="220"/>
      <c r="AI47" s="220"/>
      <c r="AJ47" s="220"/>
      <c r="AK47" s="220"/>
      <c r="AL47" s="220"/>
      <c r="AM47" s="220"/>
      <c r="AN47" s="220"/>
      <c r="AO47" s="220"/>
      <c r="AP47" s="220"/>
      <c r="AQ47" s="220"/>
      <c r="AR47" s="220"/>
      <c r="AS47" s="220"/>
      <c r="AT47" s="220"/>
      <c r="AU47" s="220"/>
      <c r="AV47" s="220"/>
      <c r="AX47" s="220"/>
      <c r="AY47" s="220"/>
      <c r="AZ47" s="220"/>
    </row>
    <row r="48" spans="1:55" ht="30" customHeight="1" x14ac:dyDescent="0.35">
      <c r="A48" s="292"/>
      <c r="B48" s="295" t="s">
        <v>21</v>
      </c>
      <c r="C48" s="293" t="str">
        <f t="shared" si="13"/>
        <v/>
      </c>
      <c r="D48" s="380"/>
      <c r="E48" s="381"/>
      <c r="F48" s="381"/>
      <c r="G48" s="381"/>
      <c r="H48" s="382"/>
      <c r="I48" s="386" t="str">
        <f t="shared" si="14"/>
        <v/>
      </c>
      <c r="J48" s="387"/>
      <c r="K48" s="380"/>
      <c r="L48" s="381"/>
      <c r="M48" s="381"/>
      <c r="N48" s="381"/>
      <c r="O48" s="382"/>
      <c r="Z48" s="220"/>
      <c r="AA48" s="220"/>
      <c r="AB48" s="220"/>
      <c r="AC48" s="220"/>
      <c r="AD48" s="220"/>
      <c r="AF48" s="220"/>
      <c r="AG48" s="220"/>
      <c r="AH48" s="220"/>
      <c r="AI48" s="220"/>
      <c r="AJ48" s="220"/>
      <c r="AK48" s="220"/>
      <c r="AL48" s="220"/>
      <c r="AM48" s="220"/>
      <c r="AN48" s="220"/>
      <c r="AO48" s="220"/>
      <c r="AP48" s="220"/>
      <c r="AQ48" s="220"/>
      <c r="AR48" s="220"/>
      <c r="AS48" s="220"/>
      <c r="AT48" s="220"/>
      <c r="AU48" s="220"/>
      <c r="AV48" s="220"/>
      <c r="AX48" s="220"/>
      <c r="AY48" s="220"/>
      <c r="AZ48" s="220"/>
    </row>
    <row r="49" spans="1:52" ht="30" customHeight="1" x14ac:dyDescent="0.35">
      <c r="A49" s="292"/>
      <c r="B49" s="295" t="s">
        <v>64</v>
      </c>
      <c r="C49" s="293" t="str">
        <f t="shared" si="13"/>
        <v/>
      </c>
      <c r="D49" s="380"/>
      <c r="E49" s="381"/>
      <c r="F49" s="381"/>
      <c r="G49" s="381"/>
      <c r="H49" s="382"/>
      <c r="I49" s="386" t="str">
        <f t="shared" si="14"/>
        <v/>
      </c>
      <c r="J49" s="387"/>
      <c r="K49" s="380"/>
      <c r="L49" s="381"/>
      <c r="M49" s="381"/>
      <c r="N49" s="381"/>
      <c r="O49" s="382"/>
      <c r="Z49" s="220"/>
      <c r="AA49" s="220"/>
      <c r="AB49" s="220"/>
      <c r="AC49" s="220"/>
      <c r="AD49" s="220"/>
      <c r="AF49" s="220"/>
      <c r="AG49" s="220"/>
      <c r="AH49" s="220"/>
      <c r="AI49" s="220"/>
      <c r="AJ49" s="220"/>
      <c r="AK49" s="220"/>
      <c r="AL49" s="220"/>
      <c r="AM49" s="220"/>
      <c r="AN49" s="220"/>
      <c r="AO49" s="220"/>
      <c r="AP49" s="220"/>
      <c r="AQ49" s="220"/>
      <c r="AR49" s="220"/>
      <c r="AS49" s="220"/>
      <c r="AT49" s="220"/>
      <c r="AU49" s="220"/>
      <c r="AV49" s="220"/>
      <c r="AX49" s="220"/>
      <c r="AY49" s="220"/>
      <c r="AZ49" s="220"/>
    </row>
    <row r="50" spans="1:52" ht="39" customHeight="1" x14ac:dyDescent="0.35">
      <c r="A50" s="423" t="s">
        <v>92</v>
      </c>
      <c r="B50" s="424"/>
      <c r="C50" s="378"/>
      <c r="D50" s="378"/>
      <c r="E50" s="378"/>
      <c r="F50" s="378"/>
      <c r="G50" s="378"/>
      <c r="H50" s="378"/>
      <c r="I50" s="378"/>
      <c r="J50" s="378"/>
      <c r="K50" s="378"/>
      <c r="L50" s="378"/>
      <c r="M50" s="378"/>
      <c r="N50" s="378"/>
      <c r="O50" s="379"/>
      <c r="Z50" s="220"/>
      <c r="AA50" s="220"/>
      <c r="AB50" s="220"/>
      <c r="AC50" s="220"/>
      <c r="AD50" s="220"/>
      <c r="AF50" s="220"/>
      <c r="AG50" s="220"/>
      <c r="AH50" s="220"/>
      <c r="AI50" s="220"/>
      <c r="AJ50" s="220"/>
      <c r="AK50" s="220"/>
      <c r="AL50" s="220"/>
      <c r="AM50" s="220"/>
      <c r="AN50" s="220"/>
      <c r="AO50" s="220"/>
      <c r="AP50" s="220"/>
      <c r="AQ50" s="220"/>
      <c r="AR50" s="220"/>
      <c r="AS50" s="220"/>
      <c r="AT50" s="220"/>
      <c r="AU50" s="220"/>
      <c r="AV50" s="220"/>
      <c r="AX50" s="220"/>
      <c r="AY50" s="220"/>
      <c r="AZ50" s="220"/>
    </row>
    <row r="51" spans="1:52" ht="48.75" customHeight="1" x14ac:dyDescent="0.35">
      <c r="A51" s="423" t="s">
        <v>93</v>
      </c>
      <c r="B51" s="424"/>
      <c r="C51" s="378"/>
      <c r="D51" s="378"/>
      <c r="E51" s="378"/>
      <c r="F51" s="378"/>
      <c r="G51" s="378"/>
      <c r="H51" s="378"/>
      <c r="I51" s="378"/>
      <c r="J51" s="378"/>
      <c r="K51" s="378"/>
      <c r="L51" s="378"/>
      <c r="M51" s="378"/>
      <c r="N51" s="378"/>
      <c r="O51" s="379"/>
      <c r="Z51" s="220"/>
      <c r="AA51" s="220"/>
      <c r="AB51" s="220"/>
      <c r="AC51" s="220"/>
      <c r="AD51" s="220"/>
      <c r="AF51" s="220"/>
      <c r="AG51" s="220"/>
      <c r="AH51" s="220"/>
      <c r="AI51" s="220"/>
      <c r="AJ51" s="220"/>
      <c r="AK51" s="220"/>
      <c r="AL51" s="220"/>
      <c r="AM51" s="220"/>
      <c r="AN51" s="220"/>
      <c r="AO51" s="220"/>
      <c r="AP51" s="220"/>
      <c r="AQ51" s="220"/>
      <c r="AR51" s="220"/>
      <c r="AS51" s="220"/>
      <c r="AT51" s="220"/>
      <c r="AU51" s="220"/>
      <c r="AV51" s="220"/>
      <c r="AW51" s="221"/>
      <c r="AX51" s="220"/>
      <c r="AY51" s="220"/>
      <c r="AZ51" s="220"/>
    </row>
    <row r="52" spans="1:52" x14ac:dyDescent="0.35">
      <c r="Z52" s="220"/>
      <c r="AA52" s="220"/>
      <c r="AB52" s="220"/>
      <c r="AC52" s="220"/>
      <c r="AD52" s="220"/>
      <c r="AF52" s="220"/>
      <c r="AG52" s="220"/>
      <c r="AH52" s="220"/>
      <c r="AI52" s="220"/>
      <c r="AJ52" s="220"/>
      <c r="AK52" s="220"/>
      <c r="AL52" s="220"/>
      <c r="AM52" s="220"/>
      <c r="AN52" s="220"/>
      <c r="AO52" s="220"/>
      <c r="AP52" s="220"/>
      <c r="AQ52" s="220"/>
      <c r="AR52" s="220"/>
      <c r="AS52" s="220"/>
      <c r="AT52" s="220"/>
      <c r="AU52" s="220"/>
      <c r="AV52" s="220"/>
      <c r="AW52" s="220"/>
      <c r="AX52" s="220"/>
    </row>
    <row r="53" spans="1:52" ht="30" customHeight="1" thickBot="1" x14ac:dyDescent="0.4">
      <c r="A53" s="241" t="s">
        <v>94</v>
      </c>
      <c r="B53" s="384" t="s">
        <v>95</v>
      </c>
      <c r="C53" s="384"/>
      <c r="D53" s="385"/>
      <c r="E53" s="385"/>
      <c r="F53" s="385"/>
      <c r="G53" s="384" t="s">
        <v>96</v>
      </c>
      <c r="H53" s="384"/>
      <c r="I53" s="384"/>
      <c r="J53" s="384"/>
      <c r="K53" s="384"/>
      <c r="L53" s="384"/>
      <c r="M53" s="384"/>
      <c r="N53" s="384"/>
      <c r="O53" s="384"/>
      <c r="Z53" s="220"/>
      <c r="AA53" s="220"/>
      <c r="AB53" s="220"/>
      <c r="AC53" s="220"/>
      <c r="AD53" s="220"/>
      <c r="AF53" s="220"/>
      <c r="AG53" s="220"/>
      <c r="AH53" s="220"/>
      <c r="AI53" s="220"/>
      <c r="AJ53" s="220"/>
      <c r="AK53" s="220"/>
      <c r="AL53" s="220"/>
      <c r="AM53" s="220"/>
      <c r="AN53" s="220"/>
      <c r="AO53" s="220"/>
      <c r="AP53" s="220"/>
      <c r="AQ53" s="220"/>
      <c r="AR53" s="220"/>
      <c r="AS53" s="220"/>
      <c r="AT53" s="220"/>
      <c r="AU53" s="220"/>
      <c r="AV53" s="220"/>
      <c r="AW53" s="220"/>
      <c r="AX53" s="220"/>
      <c r="AY53" s="220"/>
    </row>
    <row r="54" spans="1:52" ht="14.4" customHeight="1" x14ac:dyDescent="0.35">
      <c r="A54" s="335" t="s">
        <v>97</v>
      </c>
      <c r="B54" s="327" t="str">
        <f>'Data validation'!C23</f>
        <v>High likelihood of supporting the intent of the Auckland Network Operating Plan (ANOP) and Future Connect</v>
      </c>
      <c r="C54" s="327"/>
      <c r="D54" s="327"/>
      <c r="E54" s="327"/>
      <c r="F54" s="327"/>
      <c r="G54" s="396" t="s">
        <v>98</v>
      </c>
      <c r="H54" s="397"/>
      <c r="I54" s="397"/>
      <c r="J54" s="397"/>
      <c r="K54" s="397"/>
      <c r="L54" s="397"/>
      <c r="M54" s="397"/>
      <c r="N54" s="314" t="s">
        <v>99</v>
      </c>
      <c r="O54" s="311" t="str">
        <f t="shared" ref="O54:O59" si="15">IF(AD54=1,"ü","û")</f>
        <v>û</v>
      </c>
      <c r="Z54" s="220"/>
      <c r="AA54" s="220"/>
      <c r="AB54" s="220"/>
      <c r="AC54" s="391" t="s">
        <v>100</v>
      </c>
      <c r="AD54" s="276">
        <f>IF(AS33&gt;0,IF(AT33=0,1,0),0)</f>
        <v>0</v>
      </c>
      <c r="AE54" s="277" t="str">
        <f>IF(AD54=1,"True","False")</f>
        <v>False</v>
      </c>
      <c r="AF54" s="220"/>
      <c r="AG54" s="220"/>
      <c r="AH54" s="220"/>
      <c r="AI54" s="220"/>
      <c r="AJ54" s="220"/>
      <c r="AK54" s="220"/>
      <c r="AL54" s="220"/>
      <c r="AM54" s="220"/>
      <c r="AN54" s="220"/>
      <c r="AO54" s="220"/>
      <c r="AP54" s="220"/>
      <c r="AQ54" s="220"/>
      <c r="AR54" s="220"/>
      <c r="AS54" s="220"/>
      <c r="AT54" s="220"/>
      <c r="AU54" s="220"/>
      <c r="AV54" s="220"/>
      <c r="AW54" s="220"/>
      <c r="AX54" s="220"/>
      <c r="AY54" s="220"/>
    </row>
    <row r="55" spans="1:52" x14ac:dyDescent="0.35">
      <c r="A55" s="336"/>
      <c r="B55" s="330"/>
      <c r="C55" s="330"/>
      <c r="D55" s="330"/>
      <c r="E55" s="330"/>
      <c r="F55" s="330"/>
      <c r="G55" s="322" t="s">
        <v>101</v>
      </c>
      <c r="H55" s="323"/>
      <c r="I55" s="323"/>
      <c r="J55" s="323"/>
      <c r="K55" s="323"/>
      <c r="L55" s="323"/>
      <c r="M55" s="323"/>
      <c r="N55" s="315" t="s">
        <v>102</v>
      </c>
      <c r="O55" s="312" t="e">
        <f t="shared" si="15"/>
        <v>#N/A</v>
      </c>
      <c r="Z55" s="220"/>
      <c r="AA55" s="220"/>
      <c r="AB55" s="220"/>
      <c r="AC55" s="392"/>
      <c r="AD55" s="279" t="e">
        <f>IF(AP33&gt;0,1,0)</f>
        <v>#N/A</v>
      </c>
      <c r="AE55" s="389" t="e">
        <f>IF(AD55+AD56=2,"True","False")</f>
        <v>#N/A</v>
      </c>
      <c r="AF55" s="220"/>
      <c r="AG55" s="220"/>
      <c r="AH55" s="220"/>
      <c r="AI55" s="220"/>
      <c r="AJ55" s="220"/>
      <c r="AK55" s="220"/>
      <c r="AL55" s="220"/>
      <c r="AM55" s="220"/>
      <c r="AN55" s="220"/>
      <c r="AO55" s="220"/>
      <c r="AP55" s="220"/>
      <c r="AQ55" s="220"/>
      <c r="AR55" s="220"/>
      <c r="AS55" s="220"/>
      <c r="AT55" s="220"/>
      <c r="AU55" s="220"/>
      <c r="AV55" s="220"/>
      <c r="AW55" s="220"/>
      <c r="AX55" s="220"/>
      <c r="AY55" s="220"/>
    </row>
    <row r="56" spans="1:52" ht="15.65" customHeight="1" thickBot="1" x14ac:dyDescent="0.4">
      <c r="A56" s="336"/>
      <c r="B56" s="333"/>
      <c r="C56" s="333"/>
      <c r="D56" s="333"/>
      <c r="E56" s="333"/>
      <c r="F56" s="333"/>
      <c r="G56" s="417" t="s">
        <v>103</v>
      </c>
      <c r="H56" s="417"/>
      <c r="I56" s="417"/>
      <c r="J56" s="417"/>
      <c r="K56" s="417"/>
      <c r="L56" s="417"/>
      <c r="M56" s="417"/>
      <c r="N56" s="418"/>
      <c r="O56" s="310" t="e">
        <f t="shared" si="15"/>
        <v>#N/A</v>
      </c>
      <c r="P56" s="242"/>
      <c r="Z56" s="220"/>
      <c r="AA56" s="220"/>
      <c r="AB56" s="220"/>
      <c r="AC56" s="393"/>
      <c r="AD56" s="280" t="e">
        <f>IF(MIN(AP25:AP29)&lt;0,0,1)</f>
        <v>#N/A</v>
      </c>
      <c r="AE56" s="390"/>
      <c r="AF56" s="220"/>
      <c r="AG56" s="220"/>
      <c r="AH56" s="220"/>
      <c r="AI56" s="220"/>
      <c r="AJ56" s="220"/>
      <c r="AK56" s="220"/>
      <c r="AL56" s="220"/>
      <c r="AM56" s="220"/>
      <c r="AN56" s="220"/>
      <c r="AO56" s="220"/>
      <c r="AP56" s="220"/>
      <c r="AQ56" s="220"/>
      <c r="AR56" s="220"/>
      <c r="AS56" s="220"/>
      <c r="AT56" s="220"/>
      <c r="AU56" s="220"/>
      <c r="AV56" s="220"/>
      <c r="AW56" s="220"/>
      <c r="AX56" s="220"/>
      <c r="AY56" s="220"/>
    </row>
    <row r="57" spans="1:52" ht="15.65" customHeight="1" x14ac:dyDescent="0.35">
      <c r="A57" s="336"/>
      <c r="B57" s="327" t="str">
        <f>'Data validation'!$C$24</f>
        <v>Moderate likelihood of supporting the Auckland Network Operating Plan (ANOP) and Future Connect</v>
      </c>
      <c r="C57" s="327"/>
      <c r="D57" s="327"/>
      <c r="E57" s="327"/>
      <c r="F57" s="328"/>
      <c r="G57" s="396" t="s">
        <v>104</v>
      </c>
      <c r="H57" s="397"/>
      <c r="I57" s="397"/>
      <c r="J57" s="397"/>
      <c r="K57" s="397"/>
      <c r="L57" s="397"/>
      <c r="M57" s="397"/>
      <c r="N57" s="316" t="s">
        <v>99</v>
      </c>
      <c r="O57" s="313" t="e">
        <f t="shared" si="15"/>
        <v>#N/A</v>
      </c>
      <c r="Z57" s="220"/>
      <c r="AA57" s="220"/>
      <c r="AB57" s="220"/>
      <c r="AC57" s="394" t="s">
        <v>105</v>
      </c>
      <c r="AD57" s="276" t="e">
        <f>AD55</f>
        <v>#N/A</v>
      </c>
      <c r="AE57" s="277" t="e">
        <f>IF(AD57=1,"True","False")</f>
        <v>#N/A</v>
      </c>
      <c r="AF57" s="220"/>
      <c r="AG57" s="220"/>
      <c r="AH57" s="220"/>
      <c r="AI57" s="220"/>
      <c r="AJ57" s="220"/>
      <c r="AK57" s="220"/>
      <c r="AL57" s="220"/>
      <c r="AM57" s="220"/>
      <c r="AN57" s="220"/>
      <c r="AO57" s="220"/>
      <c r="AP57" s="220"/>
      <c r="AQ57" s="220"/>
      <c r="AR57" s="220"/>
      <c r="AS57" s="220"/>
      <c r="AT57" s="220"/>
      <c r="AU57" s="220"/>
      <c r="AV57" s="220"/>
      <c r="AW57" s="220"/>
      <c r="AX57" s="220"/>
      <c r="AY57" s="220"/>
    </row>
    <row r="58" spans="1:52" ht="15.65" customHeight="1" thickBot="1" x14ac:dyDescent="0.4">
      <c r="A58" s="336"/>
      <c r="B58" s="330"/>
      <c r="C58" s="330"/>
      <c r="D58" s="330"/>
      <c r="E58" s="330"/>
      <c r="F58" s="331"/>
      <c r="G58" s="414" t="s">
        <v>106</v>
      </c>
      <c r="H58" s="415"/>
      <c r="I58" s="415"/>
      <c r="J58" s="415"/>
      <c r="K58" s="415"/>
      <c r="L58" s="415"/>
      <c r="M58" s="415"/>
      <c r="N58" s="416"/>
      <c r="O58" s="312" t="e">
        <f t="shared" si="15"/>
        <v>#N/A</v>
      </c>
      <c r="Z58" s="220"/>
      <c r="AA58" s="220"/>
      <c r="AB58" s="220"/>
      <c r="AC58" s="395"/>
      <c r="AD58" s="280" t="e">
        <f>IF(AP34&gt;=0,1,0)</f>
        <v>#N/A</v>
      </c>
      <c r="AE58" s="281" t="e">
        <f>IF(AD58=1,"True","False")</f>
        <v>#N/A</v>
      </c>
      <c r="AF58" s="220"/>
      <c r="AG58" s="220"/>
      <c r="AH58" s="220"/>
      <c r="AI58" s="220"/>
      <c r="AJ58" s="220"/>
      <c r="AK58" s="220"/>
      <c r="AL58" s="220"/>
      <c r="AM58" s="220"/>
      <c r="AN58" s="220"/>
      <c r="AO58" s="220"/>
      <c r="AP58" s="220"/>
      <c r="AQ58" s="220"/>
      <c r="AR58" s="220"/>
      <c r="AS58" s="220"/>
      <c r="AT58" s="220"/>
      <c r="AU58" s="220"/>
      <c r="AV58" s="220"/>
      <c r="AW58" s="220"/>
      <c r="AX58" s="220"/>
      <c r="AY58" s="220"/>
    </row>
    <row r="59" spans="1:52" ht="15.65" customHeight="1" thickBot="1" x14ac:dyDescent="0.4">
      <c r="A59" s="337"/>
      <c r="B59" s="326" t="s">
        <v>107</v>
      </c>
      <c r="C59" s="327"/>
      <c r="D59" s="327"/>
      <c r="E59" s="327"/>
      <c r="F59" s="328"/>
      <c r="G59" s="396" t="s">
        <v>108</v>
      </c>
      <c r="H59" s="397"/>
      <c r="I59" s="397"/>
      <c r="J59" s="397"/>
      <c r="K59" s="397"/>
      <c r="L59" s="397"/>
      <c r="M59" s="397"/>
      <c r="N59" s="413"/>
      <c r="O59" s="313" t="e">
        <f t="shared" si="15"/>
        <v>#N/A</v>
      </c>
      <c r="Z59" s="220"/>
      <c r="AA59" s="220"/>
      <c r="AB59" s="220"/>
      <c r="AC59" s="283" t="s">
        <v>109</v>
      </c>
      <c r="AD59" s="284" t="e">
        <f>IF(AE54="True",0,IF(AE55="True",0,IF(AE57="True",0,IF(AE58="True",0,1))))</f>
        <v>#N/A</v>
      </c>
      <c r="AE59" s="285" t="e">
        <f>IF(AD59=1,"True","False")</f>
        <v>#N/A</v>
      </c>
      <c r="AF59" s="220"/>
      <c r="AG59" s="220"/>
      <c r="AH59" s="220"/>
      <c r="AI59" s="220"/>
      <c r="AJ59" s="220"/>
      <c r="AK59" s="220"/>
      <c r="AL59" s="220"/>
      <c r="AM59" s="220"/>
      <c r="AN59" s="220"/>
      <c r="AO59" s="220"/>
      <c r="AP59" s="220"/>
      <c r="AQ59" s="220"/>
      <c r="AR59" s="220"/>
      <c r="AS59" s="220"/>
      <c r="AT59" s="220"/>
      <c r="AU59" s="220"/>
      <c r="AV59" s="220"/>
      <c r="AW59" s="220"/>
      <c r="AX59" s="220"/>
      <c r="AY59" s="220"/>
    </row>
    <row r="60" spans="1:52" ht="15.65" customHeight="1" x14ac:dyDescent="0.35">
      <c r="A60" s="337"/>
      <c r="B60" s="329"/>
      <c r="C60" s="330"/>
      <c r="D60" s="330"/>
      <c r="E60" s="330"/>
      <c r="F60" s="331"/>
      <c r="G60" s="322" t="s">
        <v>110</v>
      </c>
      <c r="H60" s="323"/>
      <c r="I60" s="339" t="s">
        <v>111</v>
      </c>
      <c r="J60" s="339"/>
      <c r="K60" s="341" t="e">
        <f>AV33</f>
        <v>#N/A</v>
      </c>
      <c r="L60" s="341"/>
      <c r="M60" s="341"/>
      <c r="N60" s="341"/>
      <c r="O60" s="342"/>
      <c r="Z60" s="220"/>
      <c r="AA60" s="220"/>
      <c r="AB60" s="220"/>
      <c r="AC60" s="245"/>
      <c r="AD60" s="222"/>
      <c r="AE60" s="244"/>
      <c r="AF60" s="220"/>
      <c r="AG60" s="220"/>
      <c r="AH60" s="220"/>
      <c r="AI60" s="220"/>
      <c r="AJ60" s="220"/>
      <c r="AK60" s="220"/>
      <c r="AL60" s="220"/>
      <c r="AM60" s="220"/>
      <c r="AN60" s="220"/>
      <c r="AO60" s="220"/>
      <c r="AP60" s="220"/>
      <c r="AQ60" s="220"/>
      <c r="AR60" s="220"/>
      <c r="AS60" s="220"/>
      <c r="AT60" s="220"/>
      <c r="AU60" s="220"/>
      <c r="AV60" s="220"/>
      <c r="AW60" s="220"/>
      <c r="AX60" s="220"/>
      <c r="AY60" s="220"/>
    </row>
    <row r="61" spans="1:52" ht="15.65" customHeight="1" x14ac:dyDescent="0.35">
      <c r="A61" s="338"/>
      <c r="B61" s="332"/>
      <c r="C61" s="333"/>
      <c r="D61" s="333"/>
      <c r="E61" s="333"/>
      <c r="F61" s="334"/>
      <c r="G61" s="324"/>
      <c r="H61" s="325"/>
      <c r="I61" s="340" t="s">
        <v>112</v>
      </c>
      <c r="J61" s="340"/>
      <c r="K61" s="320" t="e">
        <f>AU33</f>
        <v>#N/A</v>
      </c>
      <c r="L61" s="320"/>
      <c r="M61" s="320"/>
      <c r="N61" s="320"/>
      <c r="O61" s="321"/>
      <c r="Z61" s="220"/>
      <c r="AA61" s="220"/>
      <c r="AB61" s="220"/>
      <c r="AC61" s="245"/>
      <c r="AD61" s="222"/>
      <c r="AE61" s="244"/>
      <c r="AF61" s="220"/>
      <c r="AG61" s="220"/>
      <c r="AH61" s="220"/>
      <c r="AI61" s="220"/>
      <c r="AJ61" s="220"/>
      <c r="AK61" s="220"/>
      <c r="AL61" s="220"/>
      <c r="AM61" s="220"/>
      <c r="AN61" s="220"/>
      <c r="AO61" s="220"/>
      <c r="AP61" s="220"/>
      <c r="AQ61" s="220"/>
      <c r="AR61" s="220"/>
      <c r="AS61" s="220"/>
      <c r="AT61" s="220"/>
      <c r="AU61" s="220"/>
      <c r="AV61" s="220"/>
      <c r="AW61" s="220"/>
      <c r="AX61" s="220"/>
      <c r="AY61" s="220"/>
    </row>
    <row r="62" spans="1:52" x14ac:dyDescent="0.35">
      <c r="Z62" s="220"/>
      <c r="AA62" s="220"/>
      <c r="AB62" s="220"/>
      <c r="AC62" s="286"/>
      <c r="AD62" s="287" t="s">
        <v>113</v>
      </c>
      <c r="AE62" s="288" t="e">
        <f>IF(AE54="True","H",IF(AE55="True","H",IF(AE57="True","M",IF(AE58="True","M","L"))))</f>
        <v>#N/A</v>
      </c>
      <c r="AF62" s="220"/>
      <c r="AG62" s="220"/>
      <c r="AH62" s="220"/>
      <c r="AI62" s="220"/>
      <c r="AJ62" s="220"/>
      <c r="AK62" s="220"/>
      <c r="AL62" s="220"/>
      <c r="AM62" s="220"/>
      <c r="AN62" s="220"/>
      <c r="AO62" s="220"/>
      <c r="AP62" s="220"/>
      <c r="AQ62" s="220"/>
      <c r="AR62" s="220"/>
      <c r="AS62" s="220"/>
      <c r="AT62" s="220"/>
      <c r="AV62" s="220"/>
      <c r="AW62" s="220"/>
      <c r="AX62" s="220"/>
    </row>
    <row r="63" spans="1:52" x14ac:dyDescent="0.35">
      <c r="B63" s="243"/>
      <c r="C63" s="243"/>
      <c r="D63" s="243"/>
      <c r="E63" s="243"/>
      <c r="F63" s="243"/>
      <c r="Z63" s="220"/>
      <c r="AA63" s="220"/>
      <c r="AB63" s="220"/>
      <c r="AC63" s="286"/>
      <c r="AD63" s="289"/>
      <c r="AE63" s="255"/>
      <c r="AF63" s="220"/>
      <c r="AG63" s="220"/>
      <c r="AH63" s="220"/>
      <c r="AI63" s="220"/>
      <c r="AJ63" s="220"/>
      <c r="AK63" s="220"/>
      <c r="AL63" s="220"/>
      <c r="AM63" s="220"/>
      <c r="AN63" s="220"/>
      <c r="AO63" s="220"/>
      <c r="AP63" s="220"/>
      <c r="AQ63" s="220"/>
      <c r="AR63" s="220"/>
      <c r="AS63" s="220"/>
      <c r="AT63" s="220"/>
      <c r="AV63" s="220"/>
      <c r="AW63" s="220"/>
      <c r="AX63" s="220"/>
    </row>
    <row r="64" spans="1:52" ht="27" customHeight="1" x14ac:dyDescent="0.35">
      <c r="B64" s="420" t="s">
        <v>92</v>
      </c>
      <c r="C64" s="421"/>
      <c r="D64" s="421"/>
      <c r="E64" s="421"/>
      <c r="F64" s="421"/>
      <c r="G64" s="421"/>
      <c r="H64" s="421"/>
      <c r="I64" s="421"/>
      <c r="J64" s="421"/>
      <c r="K64" s="421"/>
      <c r="L64" s="421"/>
      <c r="M64" s="421"/>
      <c r="N64" s="422"/>
      <c r="Z64" s="220"/>
      <c r="AA64" s="220"/>
      <c r="AB64" s="220"/>
      <c r="AC64" s="286"/>
      <c r="AD64" s="289"/>
      <c r="AE64" s="255"/>
      <c r="AF64" s="220"/>
      <c r="AG64" s="220"/>
      <c r="AH64" s="220"/>
      <c r="AI64" s="220"/>
      <c r="AJ64" s="220"/>
      <c r="AK64" s="220"/>
      <c r="AL64" s="220"/>
      <c r="AM64" s="220"/>
      <c r="AN64" s="220"/>
      <c r="AO64" s="220"/>
      <c r="AP64" s="220"/>
      <c r="AQ64" s="220"/>
      <c r="AR64" s="220"/>
      <c r="AS64" s="220"/>
      <c r="AT64" s="220"/>
      <c r="AV64" s="220"/>
      <c r="AW64" s="220"/>
      <c r="AX64" s="220"/>
    </row>
    <row r="65" spans="1:50" ht="27" customHeight="1" x14ac:dyDescent="0.35">
      <c r="B65" s="402" t="s">
        <v>114</v>
      </c>
      <c r="C65" s="330"/>
      <c r="D65" s="330"/>
      <c r="E65" s="330"/>
      <c r="F65" s="330"/>
      <c r="G65" s="403" t="s">
        <v>115</v>
      </c>
      <c r="H65" s="403"/>
      <c r="I65" s="403"/>
      <c r="J65" s="403"/>
      <c r="K65" s="403"/>
      <c r="L65" s="403"/>
      <c r="M65" s="403"/>
      <c r="N65" s="404"/>
      <c r="AB65" s="220"/>
      <c r="AC65" s="286"/>
      <c r="AD65" s="289"/>
      <c r="AE65" s="255"/>
      <c r="AF65" s="220"/>
      <c r="AG65" s="220"/>
      <c r="AH65" s="220"/>
      <c r="AI65" s="220"/>
      <c r="AJ65" s="220"/>
      <c r="AK65" s="220"/>
      <c r="AL65" s="220"/>
      <c r="AM65" s="220"/>
      <c r="AN65" s="220"/>
      <c r="AO65" s="220"/>
      <c r="AP65" s="220"/>
      <c r="AQ65" s="220"/>
      <c r="AR65" s="220"/>
      <c r="AS65" s="220"/>
      <c r="AT65" s="220"/>
      <c r="AV65" s="220"/>
      <c r="AW65" s="220"/>
      <c r="AX65" s="220"/>
    </row>
    <row r="66" spans="1:50" ht="87.75" customHeight="1" x14ac:dyDescent="0.35">
      <c r="B66" s="402" t="s">
        <v>116</v>
      </c>
      <c r="C66" s="330"/>
      <c r="D66" s="330"/>
      <c r="E66" s="330"/>
      <c r="F66" s="330"/>
      <c r="G66" s="330"/>
      <c r="H66" s="330"/>
      <c r="I66" s="330"/>
      <c r="J66" s="330"/>
      <c r="K66" s="330"/>
      <c r="L66" s="330"/>
      <c r="M66" s="330"/>
      <c r="N66" s="331"/>
      <c r="AB66" s="220"/>
      <c r="AC66" s="286"/>
      <c r="AD66" s="289"/>
      <c r="AE66" s="255"/>
      <c r="AF66" s="220"/>
      <c r="AG66" s="220"/>
      <c r="AH66" s="220"/>
      <c r="AI66" s="220"/>
      <c r="AJ66" s="220"/>
      <c r="AK66" s="220"/>
      <c r="AL66" s="220"/>
      <c r="AM66" s="220"/>
      <c r="AN66" s="220"/>
      <c r="AO66" s="220"/>
      <c r="AP66" s="220"/>
      <c r="AQ66" s="220"/>
      <c r="AR66" s="220"/>
      <c r="AS66" s="220"/>
      <c r="AT66" s="220"/>
      <c r="AV66" s="220"/>
      <c r="AW66" s="220"/>
      <c r="AX66" s="220"/>
    </row>
    <row r="67" spans="1:50" ht="27" customHeight="1" x14ac:dyDescent="0.35">
      <c r="B67" s="419" t="s">
        <v>117</v>
      </c>
      <c r="C67" s="403"/>
      <c r="D67" s="403"/>
      <c r="E67" s="403"/>
      <c r="F67" s="403"/>
      <c r="G67" s="403"/>
      <c r="M67" s="220"/>
      <c r="N67" s="290"/>
      <c r="AB67" s="220"/>
      <c r="AC67" s="286"/>
      <c r="AD67" s="289"/>
      <c r="AE67" s="255"/>
      <c r="AF67" s="220"/>
      <c r="AG67" s="220"/>
      <c r="AH67" s="220"/>
      <c r="AI67" s="220"/>
      <c r="AJ67" s="220"/>
      <c r="AK67" s="220"/>
      <c r="AL67" s="220"/>
      <c r="AM67" s="220"/>
      <c r="AN67" s="220"/>
      <c r="AO67" s="220"/>
      <c r="AP67" s="220"/>
      <c r="AQ67" s="220"/>
      <c r="AR67" s="220"/>
      <c r="AS67" s="220"/>
      <c r="AT67" s="220"/>
      <c r="AV67" s="220"/>
      <c r="AW67" s="220"/>
      <c r="AX67" s="220"/>
    </row>
    <row r="68" spans="1:50" ht="27" customHeight="1" x14ac:dyDescent="0.35">
      <c r="B68" s="419" t="s">
        <v>118</v>
      </c>
      <c r="C68" s="403"/>
      <c r="D68" s="403"/>
      <c r="E68" s="403"/>
      <c r="F68" s="403"/>
      <c r="G68" s="403"/>
      <c r="H68" s="403"/>
      <c r="M68" s="220"/>
      <c r="N68" s="290"/>
      <c r="Z68" s="220"/>
      <c r="AA68" s="220"/>
      <c r="AB68" s="220"/>
      <c r="AC68" s="286"/>
      <c r="AD68" s="289"/>
      <c r="AE68" s="255"/>
      <c r="AF68" s="220"/>
      <c r="AG68" s="220"/>
      <c r="AH68" s="220"/>
      <c r="AI68" s="220"/>
      <c r="AJ68" s="220"/>
      <c r="AK68" s="220"/>
      <c r="AL68" s="220"/>
      <c r="AM68" s="220"/>
      <c r="AN68" s="220"/>
      <c r="AO68" s="220"/>
      <c r="AP68" s="220"/>
      <c r="AQ68" s="220"/>
      <c r="AR68" s="220"/>
      <c r="AS68" s="220"/>
      <c r="AT68" s="220"/>
      <c r="AV68" s="220"/>
      <c r="AW68" s="220"/>
      <c r="AX68" s="220"/>
    </row>
    <row r="69" spans="1:50" ht="42.75" customHeight="1" x14ac:dyDescent="0.35">
      <c r="B69" s="410" t="s">
        <v>119</v>
      </c>
      <c r="C69" s="333"/>
      <c r="D69" s="333"/>
      <c r="E69" s="333"/>
      <c r="F69" s="333"/>
      <c r="G69" s="333"/>
      <c r="H69" s="333"/>
      <c r="I69" s="333"/>
      <c r="J69" s="333"/>
      <c r="K69" s="333"/>
      <c r="L69" s="333"/>
      <c r="M69" s="333"/>
      <c r="N69" s="334"/>
      <c r="Z69" s="220"/>
      <c r="AA69" s="220"/>
      <c r="AB69" s="220"/>
      <c r="AC69" s="286"/>
      <c r="AD69" s="289"/>
      <c r="AE69" s="255"/>
      <c r="AF69" s="220"/>
      <c r="AG69" s="220"/>
      <c r="AH69" s="220"/>
      <c r="AI69" s="220"/>
      <c r="AJ69" s="220"/>
      <c r="AK69" s="220"/>
      <c r="AL69" s="220"/>
      <c r="AM69" s="220"/>
      <c r="AN69" s="220"/>
      <c r="AO69" s="220"/>
      <c r="AP69" s="220"/>
      <c r="AQ69" s="220"/>
      <c r="AR69" s="220"/>
      <c r="AS69" s="220"/>
      <c r="AT69" s="220"/>
      <c r="AV69" s="220"/>
      <c r="AW69" s="220"/>
      <c r="AX69" s="220"/>
    </row>
    <row r="70" spans="1:50" ht="18.5" x14ac:dyDescent="0.35">
      <c r="B70" s="291"/>
      <c r="C70" s="291"/>
      <c r="D70" s="291"/>
      <c r="E70" s="291"/>
      <c r="F70" s="291"/>
      <c r="Z70" s="220"/>
      <c r="AA70" s="220"/>
      <c r="AB70" s="220"/>
      <c r="AC70" s="286"/>
      <c r="AD70" s="289"/>
      <c r="AE70" s="255"/>
      <c r="AF70" s="220"/>
      <c r="AG70" s="220"/>
      <c r="AH70" s="220"/>
      <c r="AI70" s="220"/>
      <c r="AJ70" s="220"/>
      <c r="AK70" s="220"/>
      <c r="AL70" s="220"/>
      <c r="AM70" s="220"/>
      <c r="AN70" s="220"/>
      <c r="AO70" s="220"/>
      <c r="AP70" s="220"/>
      <c r="AQ70" s="220"/>
      <c r="AR70" s="220"/>
      <c r="AS70" s="220"/>
      <c r="AT70" s="220"/>
      <c r="AV70" s="220"/>
      <c r="AW70" s="220"/>
      <c r="AX70" s="220"/>
    </row>
    <row r="71" spans="1:50" x14ac:dyDescent="0.35">
      <c r="Z71" s="220"/>
      <c r="AA71" s="220"/>
      <c r="AB71" s="220"/>
      <c r="AC71" s="220"/>
      <c r="AF71" s="220"/>
      <c r="AG71" s="220"/>
      <c r="AH71" s="220"/>
      <c r="AI71" s="220"/>
      <c r="AJ71" s="220"/>
      <c r="AK71" s="220"/>
      <c r="AL71" s="220"/>
      <c r="AM71" s="220"/>
      <c r="AN71" s="220"/>
      <c r="AO71" s="220"/>
      <c r="AP71" s="221"/>
      <c r="AQ71" s="221"/>
      <c r="AR71" s="221"/>
      <c r="AS71" s="220"/>
      <c r="AV71" s="220"/>
      <c r="AW71" s="220"/>
      <c r="AX71" s="220"/>
    </row>
    <row r="72" spans="1:50" x14ac:dyDescent="0.35">
      <c r="Z72" s="220"/>
      <c r="AA72" s="220"/>
      <c r="AB72" s="220"/>
      <c r="AC72" s="220"/>
      <c r="AD72" s="220"/>
      <c r="AE72" s="220"/>
      <c r="AF72" s="220"/>
      <c r="AG72" s="220"/>
      <c r="AH72" s="220"/>
      <c r="AI72" s="220"/>
      <c r="AJ72" s="220"/>
      <c r="AK72" s="220"/>
      <c r="AL72" s="220"/>
      <c r="AM72" s="220"/>
      <c r="AN72" s="220"/>
      <c r="AO72" s="220"/>
      <c r="AP72" s="221"/>
      <c r="AQ72" s="221"/>
      <c r="AR72" s="221"/>
      <c r="AS72" s="220"/>
      <c r="AV72" s="220"/>
      <c r="AW72" s="220"/>
      <c r="AX72" s="220"/>
    </row>
    <row r="73" spans="1:50" x14ac:dyDescent="0.35">
      <c r="Z73" s="220"/>
      <c r="AA73" s="220"/>
      <c r="AB73" s="220"/>
      <c r="AC73" s="220"/>
      <c r="AD73" s="220"/>
      <c r="AE73" s="220"/>
      <c r="AF73" s="220"/>
      <c r="AG73" s="220"/>
      <c r="AH73" s="220"/>
      <c r="AI73" s="220"/>
      <c r="AJ73" s="220"/>
      <c r="AK73" s="220"/>
      <c r="AL73" s="220"/>
      <c r="AM73" s="220"/>
      <c r="AN73" s="220"/>
      <c r="AO73" s="220"/>
      <c r="AP73" s="221"/>
      <c r="AQ73" s="221"/>
      <c r="AR73" s="221"/>
      <c r="AS73" s="220"/>
      <c r="AV73" s="220"/>
      <c r="AW73" s="220"/>
      <c r="AX73" s="220"/>
    </row>
    <row r="74" spans="1:50" x14ac:dyDescent="0.35">
      <c r="Z74" s="220"/>
      <c r="AA74" s="220"/>
      <c r="AB74" s="220"/>
      <c r="AC74" s="220"/>
      <c r="AD74" s="220"/>
      <c r="AE74" s="220"/>
      <c r="AF74" s="220"/>
      <c r="AG74" s="220"/>
      <c r="AH74" s="220"/>
      <c r="AI74" s="220"/>
      <c r="AJ74" s="220"/>
      <c r="AK74" s="220"/>
      <c r="AL74" s="220"/>
      <c r="AM74" s="220"/>
      <c r="AN74" s="220"/>
      <c r="AO74" s="220"/>
      <c r="AP74" s="221"/>
      <c r="AQ74" s="221"/>
      <c r="AR74" s="221"/>
      <c r="AS74" s="220"/>
      <c r="AV74" s="220"/>
      <c r="AW74" s="220"/>
      <c r="AX74" s="220"/>
    </row>
    <row r="75" spans="1:50" x14ac:dyDescent="0.35">
      <c r="Z75" s="220"/>
      <c r="AA75" s="220"/>
      <c r="AB75" s="220"/>
      <c r="AC75" s="220"/>
      <c r="AD75" s="220"/>
      <c r="AE75" s="220"/>
      <c r="AF75" s="220"/>
      <c r="AG75" s="220"/>
      <c r="AH75" s="220"/>
      <c r="AI75" s="220"/>
      <c r="AJ75" s="220"/>
      <c r="AK75" s="220"/>
      <c r="AL75" s="220"/>
      <c r="AM75" s="220"/>
      <c r="AN75" s="220"/>
      <c r="AO75" s="220"/>
      <c r="AP75" s="221"/>
      <c r="AQ75" s="221"/>
      <c r="AR75" s="221"/>
      <c r="AS75" s="220"/>
      <c r="AV75" s="220"/>
      <c r="AW75" s="220"/>
      <c r="AX75" s="220"/>
    </row>
    <row r="76" spans="1:50" x14ac:dyDescent="0.35">
      <c r="Z76" s="220"/>
      <c r="AA76" s="220"/>
      <c r="AB76" s="220"/>
      <c r="AC76" s="220"/>
      <c r="AD76" s="220"/>
      <c r="AE76" s="220"/>
      <c r="AF76" s="220"/>
      <c r="AG76" s="220"/>
      <c r="AH76" s="220"/>
      <c r="AI76" s="220"/>
      <c r="AJ76" s="220"/>
      <c r="AK76" s="220"/>
      <c r="AL76" s="220"/>
      <c r="AM76" s="220"/>
      <c r="AN76" s="220"/>
      <c r="AO76" s="220"/>
      <c r="AP76" s="221"/>
      <c r="AQ76" s="221"/>
      <c r="AR76" s="221"/>
      <c r="AS76" s="220"/>
      <c r="AV76" s="220"/>
      <c r="AW76" s="220"/>
      <c r="AX76" s="220"/>
    </row>
    <row r="77" spans="1:50" x14ac:dyDescent="0.35">
      <c r="A77" s="220"/>
      <c r="Z77" s="220"/>
      <c r="AA77" s="220"/>
      <c r="AB77" s="220"/>
      <c r="AC77" s="220"/>
      <c r="AD77" s="220"/>
      <c r="AE77" s="220"/>
      <c r="AF77" s="220"/>
      <c r="AG77" s="220"/>
      <c r="AH77" s="220"/>
      <c r="AI77" s="220"/>
      <c r="AJ77" s="220"/>
      <c r="AK77" s="220"/>
      <c r="AL77" s="220"/>
      <c r="AM77" s="220"/>
      <c r="AN77" s="220"/>
      <c r="AO77" s="220"/>
      <c r="AP77" s="221"/>
      <c r="AQ77" s="221"/>
      <c r="AR77" s="221"/>
      <c r="AS77" s="220"/>
      <c r="AV77" s="220"/>
      <c r="AW77" s="220"/>
      <c r="AX77" s="220"/>
    </row>
    <row r="78" spans="1:50" x14ac:dyDescent="0.35">
      <c r="A78" s="220"/>
      <c r="B78" s="220"/>
      <c r="C78" s="220"/>
      <c r="D78" s="220"/>
      <c r="E78" s="220"/>
      <c r="F78" s="220"/>
      <c r="G78" s="220"/>
      <c r="H78" s="220"/>
      <c r="I78" s="220"/>
      <c r="J78" s="220"/>
      <c r="K78" s="220"/>
      <c r="L78" s="220"/>
      <c r="Z78" s="220"/>
      <c r="AA78" s="220"/>
      <c r="AB78" s="220"/>
      <c r="AC78" s="220"/>
      <c r="AD78" s="220"/>
      <c r="AE78" s="220"/>
      <c r="AF78" s="220"/>
      <c r="AG78" s="220"/>
      <c r="AH78" s="220"/>
      <c r="AI78" s="220"/>
      <c r="AJ78" s="220"/>
      <c r="AK78" s="220"/>
      <c r="AL78" s="220"/>
      <c r="AM78" s="220"/>
      <c r="AN78" s="220"/>
      <c r="AO78" s="220"/>
      <c r="AP78" s="221"/>
      <c r="AQ78" s="221"/>
      <c r="AR78" s="221"/>
      <c r="AS78" s="220"/>
      <c r="AV78" s="220"/>
      <c r="AW78" s="220"/>
      <c r="AX78" s="220"/>
    </row>
    <row r="79" spans="1:50" x14ac:dyDescent="0.35">
      <c r="A79" s="220"/>
      <c r="G79" s="220"/>
      <c r="H79" s="220"/>
      <c r="I79" s="220"/>
      <c r="J79" s="220"/>
      <c r="K79" s="220"/>
      <c r="L79" s="220"/>
      <c r="O79" s="220"/>
      <c r="Z79" s="220"/>
      <c r="AA79" s="220"/>
      <c r="AB79" s="220"/>
      <c r="AC79" s="220"/>
      <c r="AD79" s="220"/>
      <c r="AE79" s="220"/>
      <c r="AF79" s="220"/>
      <c r="AG79" s="220"/>
      <c r="AH79" s="220"/>
      <c r="AI79" s="220"/>
      <c r="AJ79" s="220"/>
      <c r="AK79" s="220"/>
      <c r="AL79" s="220"/>
      <c r="AM79" s="220"/>
      <c r="AN79" s="220"/>
      <c r="AO79" s="220"/>
      <c r="AP79" s="221"/>
      <c r="AQ79" s="221"/>
      <c r="AR79" s="221"/>
      <c r="AS79" s="220"/>
      <c r="AV79" s="220"/>
      <c r="AW79" s="220"/>
      <c r="AX79" s="220"/>
    </row>
    <row r="80" spans="1:50" x14ac:dyDescent="0.35">
      <c r="A80" s="220"/>
      <c r="B80" s="220"/>
      <c r="C80" s="220"/>
      <c r="D80" s="220"/>
      <c r="E80" s="220"/>
      <c r="F80" s="220"/>
      <c r="G80" s="220"/>
      <c r="H80" s="220"/>
      <c r="I80" s="220"/>
      <c r="J80" s="220"/>
      <c r="K80" s="220"/>
      <c r="L80" s="220"/>
    </row>
    <row r="81" spans="1:50" ht="15" customHeight="1" x14ac:dyDescent="0.35">
      <c r="A81" s="220"/>
      <c r="B81" s="220"/>
      <c r="C81" s="220"/>
      <c r="D81" s="220"/>
      <c r="E81" s="220"/>
      <c r="F81" s="220"/>
      <c r="G81" s="220"/>
      <c r="H81" s="220"/>
      <c r="I81" s="220"/>
      <c r="J81" s="220"/>
      <c r="K81" s="220"/>
      <c r="L81" s="220"/>
      <c r="N81" s="219"/>
    </row>
    <row r="82" spans="1:50" x14ac:dyDescent="0.35">
      <c r="A82" s="220"/>
      <c r="B82" s="220"/>
      <c r="C82" s="220"/>
      <c r="D82" s="220"/>
      <c r="E82" s="220"/>
      <c r="F82" s="220"/>
      <c r="G82" s="220"/>
      <c r="H82" s="220"/>
      <c r="I82" s="220"/>
      <c r="J82" s="220"/>
      <c r="K82" s="220"/>
      <c r="L82" s="220"/>
      <c r="M82" s="222"/>
      <c r="N82" s="255"/>
      <c r="Z82" s="220"/>
      <c r="AA82" s="220"/>
      <c r="AB82" s="220"/>
      <c r="AC82" s="220"/>
      <c r="AD82" s="220"/>
      <c r="AE82" s="220"/>
      <c r="AF82" s="220"/>
      <c r="AG82" s="220"/>
      <c r="AH82" s="220"/>
      <c r="AI82" s="220"/>
      <c r="AJ82" s="220"/>
      <c r="AK82" s="220"/>
      <c r="AL82" s="220"/>
      <c r="AM82" s="220"/>
      <c r="AN82" s="220"/>
      <c r="AO82" s="220"/>
      <c r="AP82" s="221"/>
      <c r="AQ82" s="221"/>
      <c r="AR82" s="221"/>
      <c r="AS82" s="220"/>
      <c r="AV82" s="220"/>
      <c r="AW82" s="220"/>
      <c r="AX82" s="220"/>
    </row>
    <row r="83" spans="1:50" s="220" customFormat="1" x14ac:dyDescent="0.35">
      <c r="M83" s="222"/>
      <c r="N83" s="218"/>
      <c r="O83" s="219"/>
      <c r="AP83" s="221"/>
      <c r="AQ83" s="221"/>
      <c r="AR83" s="221"/>
      <c r="AT83" s="222"/>
      <c r="AU83" s="222"/>
    </row>
    <row r="84" spans="1:50" x14ac:dyDescent="0.35">
      <c r="A84" s="220"/>
      <c r="B84" s="220"/>
      <c r="C84" s="220"/>
      <c r="D84" s="220"/>
      <c r="E84" s="220"/>
      <c r="F84" s="220"/>
      <c r="G84" s="220"/>
      <c r="H84" s="220"/>
      <c r="I84" s="220"/>
      <c r="J84" s="220"/>
      <c r="K84" s="220"/>
      <c r="L84" s="220"/>
      <c r="O84" s="255"/>
      <c r="S84" s="220"/>
      <c r="T84" s="220"/>
      <c r="U84" s="220"/>
      <c r="V84" s="220"/>
      <c r="W84" s="220"/>
      <c r="X84" s="220"/>
      <c r="Y84" s="220"/>
      <c r="Z84" s="220"/>
      <c r="AA84" s="220"/>
      <c r="AB84" s="220"/>
      <c r="AC84" s="220"/>
      <c r="AD84" s="220"/>
    </row>
    <row r="85" spans="1:50" ht="15" customHeight="1" x14ac:dyDescent="0.35">
      <c r="A85" s="220"/>
      <c r="B85" s="220"/>
      <c r="C85" s="220"/>
      <c r="D85" s="220"/>
      <c r="E85" s="220"/>
      <c r="F85" s="220"/>
      <c r="G85" s="220"/>
      <c r="H85" s="220"/>
      <c r="I85" s="220"/>
      <c r="J85" s="220"/>
      <c r="K85" s="220"/>
      <c r="L85" s="220"/>
      <c r="M85" s="219"/>
    </row>
    <row r="86" spans="1:50" x14ac:dyDescent="0.35">
      <c r="A86" s="220"/>
      <c r="B86" s="220"/>
      <c r="C86" s="220"/>
      <c r="D86" s="220"/>
      <c r="E86" s="220"/>
      <c r="F86" s="220"/>
      <c r="G86" s="220"/>
      <c r="H86" s="220"/>
      <c r="I86" s="220"/>
      <c r="J86" s="220"/>
      <c r="K86" s="220"/>
      <c r="L86" s="220"/>
      <c r="M86" s="255"/>
    </row>
    <row r="87" spans="1:50" x14ac:dyDescent="0.35">
      <c r="A87" s="220"/>
      <c r="B87" s="220"/>
      <c r="C87" s="220"/>
      <c r="D87" s="220"/>
      <c r="E87" s="220"/>
      <c r="F87" s="220"/>
      <c r="G87" s="220"/>
      <c r="H87" s="220"/>
      <c r="I87" s="220"/>
      <c r="J87" s="220"/>
      <c r="K87" s="220"/>
      <c r="L87" s="220"/>
      <c r="P87" s="219"/>
      <c r="Q87" s="219"/>
      <c r="R87" s="219"/>
      <c r="S87" s="219"/>
      <c r="T87" s="219"/>
      <c r="U87" s="219"/>
      <c r="V87" s="219"/>
      <c r="W87" s="219"/>
      <c r="X87" s="219"/>
    </row>
    <row r="88" spans="1:50" x14ac:dyDescent="0.35">
      <c r="A88" s="220"/>
      <c r="B88" s="220"/>
      <c r="C88" s="220"/>
      <c r="D88" s="220"/>
      <c r="E88" s="220"/>
      <c r="F88" s="220"/>
      <c r="G88" s="220"/>
      <c r="H88" s="220"/>
      <c r="I88" s="220"/>
      <c r="J88" s="220"/>
      <c r="K88" s="220"/>
      <c r="L88" s="220"/>
      <c r="P88" s="255"/>
      <c r="Q88" s="255"/>
      <c r="R88" s="255"/>
      <c r="S88" s="255"/>
      <c r="T88" s="255"/>
      <c r="U88" s="255"/>
      <c r="V88" s="255"/>
      <c r="W88" s="255"/>
      <c r="X88" s="255"/>
    </row>
    <row r="89" spans="1:50" x14ac:dyDescent="0.35">
      <c r="A89" s="220"/>
      <c r="B89" s="220"/>
      <c r="C89" s="220"/>
      <c r="D89" s="220"/>
      <c r="E89" s="220"/>
      <c r="F89" s="220"/>
      <c r="G89" s="220"/>
      <c r="H89" s="220"/>
      <c r="I89" s="220"/>
      <c r="J89" s="220"/>
      <c r="K89" s="220"/>
      <c r="L89" s="220"/>
    </row>
    <row r="90" spans="1:50" ht="15" customHeight="1" x14ac:dyDescent="0.35">
      <c r="A90" s="220"/>
      <c r="B90" s="220"/>
      <c r="C90" s="220"/>
      <c r="D90" s="220"/>
      <c r="E90" s="220"/>
      <c r="F90" s="220"/>
      <c r="G90" s="220"/>
      <c r="H90" s="220"/>
      <c r="I90" s="220"/>
      <c r="J90" s="220"/>
      <c r="K90" s="220"/>
      <c r="L90" s="220"/>
    </row>
    <row r="91" spans="1:50" x14ac:dyDescent="0.35">
      <c r="A91" s="220"/>
      <c r="B91" s="220"/>
      <c r="C91" s="220"/>
      <c r="D91" s="220"/>
      <c r="E91" s="220"/>
      <c r="F91" s="220"/>
      <c r="G91" s="220"/>
      <c r="H91" s="220"/>
      <c r="I91" s="220"/>
      <c r="J91" s="220"/>
      <c r="K91" s="220"/>
      <c r="L91" s="220"/>
    </row>
    <row r="92" spans="1:50" ht="15" customHeight="1" x14ac:dyDescent="0.35">
      <c r="A92" s="220"/>
      <c r="B92" s="220"/>
      <c r="C92" s="220"/>
      <c r="D92" s="220"/>
      <c r="E92" s="220"/>
      <c r="F92" s="220"/>
      <c r="G92" s="220"/>
      <c r="H92" s="220"/>
      <c r="I92" s="220"/>
      <c r="J92" s="220"/>
      <c r="K92" s="220"/>
      <c r="L92" s="220"/>
    </row>
    <row r="93" spans="1:50" x14ac:dyDescent="0.35">
      <c r="A93" s="220"/>
      <c r="B93" s="220"/>
      <c r="C93" s="220"/>
      <c r="D93" s="220"/>
      <c r="E93" s="220"/>
      <c r="F93" s="220"/>
      <c r="G93" s="220"/>
      <c r="H93" s="220"/>
      <c r="I93" s="220"/>
      <c r="J93" s="220"/>
      <c r="K93" s="220"/>
      <c r="L93" s="220"/>
    </row>
    <row r="94" spans="1:50" x14ac:dyDescent="0.35">
      <c r="B94" s="219"/>
      <c r="C94" s="219"/>
      <c r="D94" s="219"/>
      <c r="E94" s="219"/>
      <c r="H94" s="222"/>
      <c r="I94" s="222"/>
      <c r="J94" s="222"/>
      <c r="K94" s="222"/>
      <c r="L94" s="222"/>
    </row>
    <row r="95" spans="1:50" x14ac:dyDescent="0.35">
      <c r="B95" s="219"/>
      <c r="C95" s="219"/>
      <c r="D95" s="219"/>
      <c r="E95" s="219"/>
      <c r="H95" s="222"/>
      <c r="I95" s="222"/>
      <c r="J95" s="222"/>
      <c r="K95" s="222"/>
      <c r="L95" s="222"/>
    </row>
    <row r="96" spans="1:50" x14ac:dyDescent="0.35">
      <c r="B96" s="219"/>
      <c r="C96" s="219"/>
      <c r="D96" s="219"/>
      <c r="E96" s="219"/>
      <c r="H96" s="222"/>
      <c r="I96" s="222"/>
      <c r="J96" s="222"/>
      <c r="K96" s="222"/>
      <c r="L96" s="222"/>
    </row>
  </sheetData>
  <sheetProtection algorithmName="SHA-512" hashValue="K/dAYAUyRqbmwcEIkxSyC+bwunOKOpg3Nt3MN8yEbsyV/QLacgeVarDpT7M9H/IazoppPPLX7ja+LgWWO10uOw==" saltValue="8hOHrPBhGs2Yfh7Qx1+NoQ==" spinCount="100000" sheet="1" formatRows="0" selectLockedCells="1"/>
  <mergeCells count="89">
    <mergeCell ref="C20:F20"/>
    <mergeCell ref="B69:N69"/>
    <mergeCell ref="H37:I39"/>
    <mergeCell ref="J37:O39"/>
    <mergeCell ref="G53:O53"/>
    <mergeCell ref="G59:N59"/>
    <mergeCell ref="G58:N58"/>
    <mergeCell ref="G56:N56"/>
    <mergeCell ref="B67:G67"/>
    <mergeCell ref="B64:N64"/>
    <mergeCell ref="A51:B51"/>
    <mergeCell ref="A34:A39"/>
    <mergeCell ref="B68:H68"/>
    <mergeCell ref="B66:N66"/>
    <mergeCell ref="K47:O47"/>
    <mergeCell ref="K46:O46"/>
    <mergeCell ref="A50:B50"/>
    <mergeCell ref="A1:M1"/>
    <mergeCell ref="C51:O51"/>
    <mergeCell ref="C21:F21"/>
    <mergeCell ref="B65:F65"/>
    <mergeCell ref="G65:N65"/>
    <mergeCell ref="A10:O10"/>
    <mergeCell ref="G6:K6"/>
    <mergeCell ref="A9:M9"/>
    <mergeCell ref="N9:O9"/>
    <mergeCell ref="C19:F19"/>
    <mergeCell ref="C18:F18"/>
    <mergeCell ref="C17:F17"/>
    <mergeCell ref="C22:F22"/>
    <mergeCell ref="A11:O11"/>
    <mergeCell ref="N1:O1"/>
    <mergeCell ref="C28:F28"/>
    <mergeCell ref="AE55:AE56"/>
    <mergeCell ref="AC54:AC56"/>
    <mergeCell ref="B54:F56"/>
    <mergeCell ref="AC57:AC58"/>
    <mergeCell ref="B57:F58"/>
    <mergeCell ref="G54:M54"/>
    <mergeCell ref="G55:M55"/>
    <mergeCell ref="G57:M57"/>
    <mergeCell ref="C27:F27"/>
    <mergeCell ref="D48:H48"/>
    <mergeCell ref="D47:H47"/>
    <mergeCell ref="D46:H46"/>
    <mergeCell ref="D45:H45"/>
    <mergeCell ref="C50:O50"/>
    <mergeCell ref="K45:O45"/>
    <mergeCell ref="AX33:AY33"/>
    <mergeCell ref="B53:F53"/>
    <mergeCell ref="K49:O49"/>
    <mergeCell ref="K48:O48"/>
    <mergeCell ref="I47:J47"/>
    <mergeCell ref="I46:J46"/>
    <mergeCell ref="I45:J45"/>
    <mergeCell ref="I44:J44"/>
    <mergeCell ref="D49:H49"/>
    <mergeCell ref="I49:J49"/>
    <mergeCell ref="I48:J48"/>
    <mergeCell ref="A3:M3"/>
    <mergeCell ref="A6:F6"/>
    <mergeCell ref="N8:O8"/>
    <mergeCell ref="A8:M8"/>
    <mergeCell ref="A7:O7"/>
    <mergeCell ref="A5:M5"/>
    <mergeCell ref="A4:O4"/>
    <mergeCell ref="A14:O14"/>
    <mergeCell ref="A12:O12"/>
    <mergeCell ref="A18:A22"/>
    <mergeCell ref="A25:A30"/>
    <mergeCell ref="A44:B44"/>
    <mergeCell ref="A13:O13"/>
    <mergeCell ref="J43:O43"/>
    <mergeCell ref="D44:H44"/>
    <mergeCell ref="K44:O44"/>
    <mergeCell ref="B24:F24"/>
    <mergeCell ref="C25:F25"/>
    <mergeCell ref="C26:F26"/>
    <mergeCell ref="C32:F32"/>
    <mergeCell ref="C31:F31"/>
    <mergeCell ref="C30:F30"/>
    <mergeCell ref="C29:F29"/>
    <mergeCell ref="K61:O61"/>
    <mergeCell ref="G60:H61"/>
    <mergeCell ref="B59:F61"/>
    <mergeCell ref="A54:A61"/>
    <mergeCell ref="I60:J60"/>
    <mergeCell ref="I61:J61"/>
    <mergeCell ref="K60:O60"/>
  </mergeCells>
  <conditionalFormatting sqref="G54 N54:O54">
    <cfRule type="expression" dxfId="32" priority="17">
      <formula>$AE$54="True"</formula>
    </cfRule>
  </conditionalFormatting>
  <conditionalFormatting sqref="G55 N55:O55 G56:O56">
    <cfRule type="expression" dxfId="31" priority="16">
      <formula>$AE$55="True"</formula>
    </cfRule>
  </conditionalFormatting>
  <conditionalFormatting sqref="G57 N57:O57">
    <cfRule type="expression" dxfId="30" priority="15">
      <formula>$AE$57="True"</formula>
    </cfRule>
  </conditionalFormatting>
  <conditionalFormatting sqref="G57:G60 O58:O59 N57:O57">
    <cfRule type="expression" dxfId="29" priority="8">
      <formula>$AE$62="H"</formula>
    </cfRule>
  </conditionalFormatting>
  <conditionalFormatting sqref="G58 O58">
    <cfRule type="expression" dxfId="28" priority="12">
      <formula>$AE$58="True"</formula>
    </cfRule>
  </conditionalFormatting>
  <conditionalFormatting sqref="G59">
    <cfRule type="expression" dxfId="27" priority="114">
      <formula>$AE$62="L"</formula>
    </cfRule>
    <cfRule type="expression" dxfId="26" priority="115">
      <formula>AD$62="M"</formula>
    </cfRule>
  </conditionalFormatting>
  <conditionalFormatting sqref="I60:I61">
    <cfRule type="expression" dxfId="25" priority="4">
      <formula>$AE$62="L"</formula>
    </cfRule>
    <cfRule type="expression" dxfId="24" priority="5">
      <formula>$AE$62="H"</formula>
    </cfRule>
    <cfRule type="expression" dxfId="23" priority="6">
      <formula>Y$62="M"</formula>
    </cfRule>
  </conditionalFormatting>
  <conditionalFormatting sqref="J37 B54">
    <cfRule type="expression" dxfId="22" priority="107">
      <formula>$AE$62="H"</formula>
    </cfRule>
  </conditionalFormatting>
  <conditionalFormatting sqref="J37 B57">
    <cfRule type="expression" dxfId="21" priority="108">
      <formula>$AE$62="M"</formula>
    </cfRule>
  </conditionalFormatting>
  <conditionalFormatting sqref="J37 B59">
    <cfRule type="expression" dxfId="20" priority="109">
      <formula>$AE$62="L"</formula>
    </cfRule>
  </conditionalFormatting>
  <conditionalFormatting sqref="K60:K61">
    <cfRule type="expression" dxfId="19" priority="1">
      <formula>$AE$62="L"</formula>
    </cfRule>
    <cfRule type="expression" dxfId="18" priority="2">
      <formula>$AE$62="H"</formula>
    </cfRule>
    <cfRule type="expression" dxfId="17" priority="3">
      <formula>AA$62="M"</formula>
    </cfRule>
  </conditionalFormatting>
  <conditionalFormatting sqref="N57:O57 G57:G58 O58">
    <cfRule type="expression" dxfId="16" priority="10">
      <formula>$AE$62="L"</formula>
    </cfRule>
  </conditionalFormatting>
  <conditionalFormatting sqref="O59 G60">
    <cfRule type="expression" dxfId="15" priority="7">
      <formula>$AE$62="L"</formula>
    </cfRule>
    <cfRule type="expression" dxfId="14" priority="9">
      <formula>W$62="M"</formula>
    </cfRule>
  </conditionalFormatting>
  <dataValidations count="1">
    <dataValidation type="list" allowBlank="1" showInputMessage="1" showErrorMessage="1" sqref="M82:M83 H94:L96" xr:uid="{6269383D-D0E1-4413-B347-89466C2D0D3F}">
      <formula1>"A,B,C,D,E,F"</formula1>
    </dataValidation>
  </dataValidations>
  <hyperlinks>
    <hyperlink ref="B24" r:id="rId1" display="Future Connect Network Hierarchy" xr:uid="{5B134329-5452-4744-B374-F5FE18AFCFF6}"/>
    <hyperlink ref="B67" r:id="rId2" display="For more information about the Auckland Network Operating Plan" xr:uid="{9B69DDA3-DF60-425C-9458-9E4A2FF4851F}"/>
    <hyperlink ref="B68" r:id="rId3" xr:uid="{B93950CF-2409-4A21-AAD9-C74A27D18183}"/>
    <hyperlink ref="G65:I65" r:id="rId4" display="   Application of the Auckland Network Operating Plan" xr:uid="{8D3062BE-04E2-444E-96D2-FE379B61A8AB}"/>
    <hyperlink ref="N9:O9" r:id="rId5" display="Link to the ANOP webpage" xr:uid="{1BC1D0C3-982A-4205-B4EC-25BE3C66A1AC}"/>
    <hyperlink ref="N8:O8" r:id="rId6" display="Link to Future Connect Mapping Portal" xr:uid="{F708399D-A7E3-437D-8F25-EA69A7510054}"/>
  </hyperlinks>
  <printOptions horizontalCentered="1"/>
  <pageMargins left="0.39370078740157483" right="0.39370078740157483" top="0.39370078740157483" bottom="0.39370078740157483" header="0.19685039370078741" footer="0.19685039370078741"/>
  <pageSetup paperSize="9" scale="53" orientation="landscape" horizontalDpi="1200" verticalDpi="1200" r:id="rId7"/>
  <headerFooter>
    <oddFooter>&amp;R&amp;A</oddFooter>
  </headerFooter>
  <drawing r:id="rId8"/>
  <extLst>
    <ext xmlns:x14="http://schemas.microsoft.com/office/spreadsheetml/2009/9/main" uri="{CCE6A557-97BC-4b89-ADB6-D9C93CAAB3DF}">
      <x14:dataValidations xmlns:xm="http://schemas.microsoft.com/office/excel/2006/main" count="11">
        <x14:dataValidation type="list" allowBlank="1" showInputMessage="1" showErrorMessage="1" xr:uid="{B61A1F6B-DEB9-48E6-8794-3380923B8B38}">
          <x14:formula1>
            <xm:f>'Data validation'!$A$4:$A$10</xm:f>
          </x14:formula1>
          <xm:sqref>C26</xm:sqref>
        </x14:dataValidation>
        <x14:dataValidation type="list" allowBlank="1" showInputMessage="1" showErrorMessage="1" xr:uid="{18BDE997-7897-4317-B666-8A5FE3E0BDAB}">
          <x14:formula1>
            <xm:f>'Data validation'!$Y$4:$Y$7</xm:f>
          </x14:formula1>
          <xm:sqref>C25</xm:sqref>
        </x14:dataValidation>
        <x14:dataValidation type="list" allowBlank="1" showInputMessage="1" showErrorMessage="1" xr:uid="{D183DD51-6762-48E1-AD42-24228DBF0562}">
          <x14:formula1>
            <xm:f>'Data validation'!$S$4:$S$9</xm:f>
          </x14:formula1>
          <xm:sqref>C29</xm:sqref>
        </x14:dataValidation>
        <x14:dataValidation type="list" allowBlank="1" showInputMessage="1" showErrorMessage="1" xr:uid="{FB805743-8413-4436-B4F4-E991EDF72DE8}">
          <x14:formula1>
            <xm:f>'Data validation'!$AD$4:$AD$15</xm:f>
          </x14:formula1>
          <xm:sqref>C30</xm:sqref>
        </x14:dataValidation>
        <x14:dataValidation type="list" allowBlank="1" showInputMessage="1" showErrorMessage="1" xr:uid="{B683C914-A235-4EE7-AEB1-E3F887080A2F}">
          <x14:formula1>
            <xm:f>'Data validation'!$A$23:$A$34</xm:f>
          </x14:formula1>
          <xm:sqref>F40:F41</xm:sqref>
        </x14:dataValidation>
        <x14:dataValidation type="list" allowBlank="1" showInputMessage="1" showErrorMessage="1" xr:uid="{2E909631-2522-4A6A-9FBC-DAE47132A8E4}">
          <x14:formula1>
            <xm:f>'Data validation'!$A$29:$A$34</xm:f>
          </x14:formula1>
          <xm:sqref>C40:E41</xm:sqref>
        </x14:dataValidation>
        <x14:dataValidation type="list" allowBlank="1" showInputMessage="1" showErrorMessage="1" xr:uid="{16BCD16B-4D31-417F-9EC2-90E6E37696A2}">
          <x14:formula1>
            <xm:f>'Data validation'!$M$4:$M$12</xm:f>
          </x14:formula1>
          <xm:sqref>C28</xm:sqref>
        </x14:dataValidation>
        <x14:dataValidation type="list" allowBlank="1" showInputMessage="1" showErrorMessage="1" xr:uid="{D9C23A45-759C-4065-ABB4-220AABB96A32}">
          <x14:formula1>
            <xm:f>'Data validation'!$K$23:$K$29</xm:f>
          </x14:formula1>
          <xm:sqref>E35:E39</xm:sqref>
        </x14:dataValidation>
        <x14:dataValidation type="list" allowBlank="1" showInputMessage="1" showErrorMessage="1" xr:uid="{C771D61D-5E6A-480F-875D-A28FE79484F1}">
          <x14:formula1>
            <xm:f>'Data validation'!$A$29:$A$35</xm:f>
          </x14:formula1>
          <xm:sqref>C35:C39</xm:sqref>
        </x14:dataValidation>
        <x14:dataValidation type="list" allowBlank="1" showInputMessage="1" showErrorMessage="1" xr:uid="{3AE15895-031E-4F42-BCB8-0009600C6914}">
          <x14:formula1>
            <xm:f>'Data validation'!$A$23:$A$35</xm:f>
          </x14:formula1>
          <xm:sqref>F35:F39</xm:sqref>
        </x14:dataValidation>
        <x14:dataValidation type="list" allowBlank="1" showInputMessage="1" showErrorMessage="1" xr:uid="{F2E45676-A265-43A4-AC8F-310B7C304DC0}">
          <x14:formula1>
            <xm:f>'Data validation'!$G$4:$G$11</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341C-F875-4FEF-A949-08CA0120A5E7}">
  <sheetPr>
    <tabColor rgb="FFFF3300"/>
  </sheetPr>
  <dimension ref="B2:R11"/>
  <sheetViews>
    <sheetView showGridLines="0" showRowColHeaders="0" zoomScale="120" zoomScaleNormal="120" workbookViewId="0">
      <selection activeCell="F6" sqref="F6"/>
    </sheetView>
  </sheetViews>
  <sheetFormatPr defaultColWidth="9.08984375" defaultRowHeight="14" x14ac:dyDescent="0.3"/>
  <cols>
    <col min="1" max="1" width="9.08984375" style="64"/>
    <col min="2" max="2" width="23.08984375" style="64" bestFit="1" customWidth="1"/>
    <col min="3" max="3" width="16.08984375" style="64" customWidth="1"/>
    <col min="4" max="5" width="16.08984375" style="64" hidden="1" customWidth="1"/>
    <col min="6" max="6" width="16.08984375" style="64" customWidth="1"/>
    <col min="7" max="7" width="16.08984375" style="64" hidden="1" customWidth="1"/>
    <col min="8" max="8" width="16.08984375" style="64" customWidth="1"/>
    <col min="9" max="10" width="16.08984375" style="64" hidden="1" customWidth="1"/>
    <col min="11" max="11" width="16.08984375" style="64" customWidth="1"/>
    <col min="12" max="12" width="16.08984375" style="64" hidden="1" customWidth="1"/>
    <col min="13" max="13" width="16.08984375" style="64" customWidth="1"/>
    <col min="14" max="14" width="13.36328125" style="186" hidden="1" customWidth="1"/>
    <col min="15" max="18" width="13.36328125" style="64" hidden="1" customWidth="1"/>
    <col min="19" max="16384" width="9.08984375" style="64"/>
  </cols>
  <sheetData>
    <row r="2" spans="2:18" ht="62" x14ac:dyDescent="0.3">
      <c r="B2" s="187"/>
      <c r="C2" s="188" t="s">
        <v>120</v>
      </c>
      <c r="D2" s="188" t="s">
        <v>121</v>
      </c>
      <c r="E2" s="188" t="s">
        <v>122</v>
      </c>
      <c r="F2" s="188" t="s">
        <v>36</v>
      </c>
      <c r="G2" s="188" t="s">
        <v>123</v>
      </c>
      <c r="H2" s="188" t="s">
        <v>124</v>
      </c>
      <c r="I2" s="188" t="s">
        <v>125</v>
      </c>
      <c r="J2" s="188" t="s">
        <v>126</v>
      </c>
      <c r="K2" s="188" t="s">
        <v>127</v>
      </c>
      <c r="L2" s="189" t="s">
        <v>128</v>
      </c>
      <c r="M2" s="188" t="s">
        <v>129</v>
      </c>
      <c r="N2" s="190" t="s">
        <v>130</v>
      </c>
      <c r="O2" s="191" t="s">
        <v>131</v>
      </c>
      <c r="P2" s="190" t="s">
        <v>132</v>
      </c>
      <c r="Q2" s="190" t="s">
        <v>133</v>
      </c>
      <c r="R2" s="190" t="s">
        <v>134</v>
      </c>
    </row>
    <row r="3" spans="2:18" ht="30" customHeight="1" x14ac:dyDescent="0.3">
      <c r="B3" s="192" t="s">
        <v>53</v>
      </c>
      <c r="C3" s="190">
        <f>'ANOP Assessment v1.0'!C35</f>
        <v>0</v>
      </c>
      <c r="D3" s="190">
        <f>'ANOP Assessment v1.0'!AG25</f>
        <v>0</v>
      </c>
      <c r="E3" s="190" t="e">
        <f>IF(G3-D3&gt;0,G3-D3,0)</f>
        <v>#N/A</v>
      </c>
      <c r="F3" s="190" t="e">
        <f>'ANOP Assessment v1.0'!AE25</f>
        <v>#N/A</v>
      </c>
      <c r="G3" s="190" t="e">
        <f>'ANOP Assessment v1.0'!AF25</f>
        <v>#N/A</v>
      </c>
      <c r="H3" s="190" t="e">
        <f>_xlfn.XLOOKUP('ANOP Assessment v1.0'!AN25,'Data validation'!$J$24:$J$29,'Data validation'!$I$24:$I$29)</f>
        <v>#N/A</v>
      </c>
      <c r="I3" s="190">
        <f>'ANOP Assessment v1.0'!AM25</f>
        <v>0</v>
      </c>
      <c r="J3" s="190" t="e">
        <f>IF(G3-I3&gt;0,G3-I3,0)</f>
        <v>#N/A</v>
      </c>
      <c r="K3" s="190" t="e">
        <f>IF(J3=0,"None",J3)</f>
        <v>#N/A</v>
      </c>
      <c r="L3" s="190" t="e">
        <f>E3-J3</f>
        <v>#N/A</v>
      </c>
      <c r="M3" s="190" t="e">
        <f t="shared" ref="M3:M7" si="0">_xlfn.XLOOKUP("True",N3:R3,$N$2:$R$2)</f>
        <v>#N/A</v>
      </c>
      <c r="N3" s="191" t="e">
        <f>IF($L3=0,"True")</f>
        <v>#N/A</v>
      </c>
      <c r="O3" s="191" t="e">
        <f>IF(AND($E3&gt;0,$J3=0),"True")</f>
        <v>#N/A</v>
      </c>
      <c r="P3" s="191" t="e">
        <f>IF(AND($E3=0,$J3&gt;0),"True")</f>
        <v>#N/A</v>
      </c>
      <c r="Q3" s="191" t="e">
        <f>IF(AND($E3&gt;0,$L3&lt;0),"True")</f>
        <v>#N/A</v>
      </c>
      <c r="R3" s="191" t="e">
        <f>IF(AND($E3&gt;0,$J3&gt;0,$L3&gt;0),"True")</f>
        <v>#N/A</v>
      </c>
    </row>
    <row r="4" spans="2:18" ht="30" customHeight="1" x14ac:dyDescent="0.3">
      <c r="B4" s="192" t="s">
        <v>56</v>
      </c>
      <c r="C4" s="190">
        <f>'ANOP Assessment v1.0'!C36</f>
        <v>0</v>
      </c>
      <c r="D4" s="190">
        <f>'ANOP Assessment v1.0'!AG26</f>
        <v>0</v>
      </c>
      <c r="E4" s="190" t="e">
        <f t="shared" ref="E4:E7" si="1">IF(G4-D4&gt;0,G4-D4,0)</f>
        <v>#N/A</v>
      </c>
      <c r="F4" s="190" t="e">
        <f>'ANOP Assessment v1.0'!AE26</f>
        <v>#N/A</v>
      </c>
      <c r="G4" s="190" t="e">
        <f>'ANOP Assessment v1.0'!AF26</f>
        <v>#N/A</v>
      </c>
      <c r="H4" s="190" t="e">
        <f>_xlfn.XLOOKUP('ANOP Assessment v1.0'!AN26,'Data validation'!$J$24:$J$29,'Data validation'!$I$24:$I$29)</f>
        <v>#N/A</v>
      </c>
      <c r="I4" s="190">
        <f>'ANOP Assessment v1.0'!AM26</f>
        <v>0</v>
      </c>
      <c r="J4" s="190" t="e">
        <f t="shared" ref="J4:J7" si="2">IF(G4-I4&gt;0,G4-I4,0)</f>
        <v>#N/A</v>
      </c>
      <c r="K4" s="190" t="e">
        <f t="shared" ref="K4:K7" si="3">IF(J4=0,"None",J4)</f>
        <v>#N/A</v>
      </c>
      <c r="L4" s="190" t="e">
        <f t="shared" ref="L4:L7" si="4">E4-J4</f>
        <v>#N/A</v>
      </c>
      <c r="M4" s="190" t="e">
        <f t="shared" si="0"/>
        <v>#N/A</v>
      </c>
      <c r="N4" s="191" t="e">
        <f t="shared" ref="N4:N7" si="5">IF($L4=0,"True")</f>
        <v>#N/A</v>
      </c>
      <c r="O4" s="191" t="e">
        <f t="shared" ref="O4:O7" si="6">IF(AND($E4&gt;0,$J4=0),"True")</f>
        <v>#N/A</v>
      </c>
      <c r="P4" s="191" t="e">
        <f t="shared" ref="P4:P7" si="7">IF(AND($E4=0,$J4&gt;0),"True")</f>
        <v>#N/A</v>
      </c>
      <c r="Q4" s="191" t="e">
        <f t="shared" ref="Q4:Q7" si="8">IF(AND($E4&gt;0,$L4&lt;0),"True")</f>
        <v>#N/A</v>
      </c>
      <c r="R4" s="191" t="e">
        <f t="shared" ref="R4:R7" si="9">IF(AND($E4&gt;0,$J4&gt;0,$L4&gt;0),"True")</f>
        <v>#N/A</v>
      </c>
    </row>
    <row r="5" spans="2:18" ht="30" customHeight="1" x14ac:dyDescent="0.3">
      <c r="B5" s="192" t="s">
        <v>59</v>
      </c>
      <c r="C5" s="190">
        <f>'ANOP Assessment v1.0'!C37</f>
        <v>0</v>
      </c>
      <c r="D5" s="190">
        <f>'ANOP Assessment v1.0'!AG27</f>
        <v>0</v>
      </c>
      <c r="E5" s="190" t="e">
        <f t="shared" si="1"/>
        <v>#N/A</v>
      </c>
      <c r="F5" s="190" t="e">
        <f>'ANOP Assessment v1.0'!AE27</f>
        <v>#N/A</v>
      </c>
      <c r="G5" s="190" t="e">
        <f>'ANOP Assessment v1.0'!AF27</f>
        <v>#N/A</v>
      </c>
      <c r="H5" s="190" t="e">
        <f>_xlfn.XLOOKUP('ANOP Assessment v1.0'!AN27,'Data validation'!$J$24:$J$29,'Data validation'!$I$24:$I$29)</f>
        <v>#N/A</v>
      </c>
      <c r="I5" s="190">
        <f>'ANOP Assessment v1.0'!AM27</f>
        <v>0</v>
      </c>
      <c r="J5" s="190" t="e">
        <f t="shared" si="2"/>
        <v>#N/A</v>
      </c>
      <c r="K5" s="190" t="e">
        <f t="shared" si="3"/>
        <v>#N/A</v>
      </c>
      <c r="L5" s="190" t="e">
        <f t="shared" si="4"/>
        <v>#N/A</v>
      </c>
      <c r="M5" s="190" t="e">
        <f t="shared" si="0"/>
        <v>#N/A</v>
      </c>
      <c r="N5" s="191" t="e">
        <f t="shared" si="5"/>
        <v>#N/A</v>
      </c>
      <c r="O5" s="191" t="e">
        <f t="shared" si="6"/>
        <v>#N/A</v>
      </c>
      <c r="P5" s="191" t="e">
        <f t="shared" si="7"/>
        <v>#N/A</v>
      </c>
      <c r="Q5" s="191" t="e">
        <f t="shared" si="8"/>
        <v>#N/A</v>
      </c>
      <c r="R5" s="191" t="e">
        <f t="shared" si="9"/>
        <v>#N/A</v>
      </c>
    </row>
    <row r="6" spans="2:18" ht="30" customHeight="1" x14ac:dyDescent="0.3">
      <c r="B6" s="192" t="s">
        <v>21</v>
      </c>
      <c r="C6" s="190">
        <f>'ANOP Assessment v1.0'!C38</f>
        <v>0</v>
      </c>
      <c r="D6" s="190">
        <f>'ANOP Assessment v1.0'!AG28</f>
        <v>0</v>
      </c>
      <c r="E6" s="190" t="e">
        <f t="shared" si="1"/>
        <v>#N/A</v>
      </c>
      <c r="F6" s="190" t="e">
        <f>'ANOP Assessment v1.0'!AE28</f>
        <v>#N/A</v>
      </c>
      <c r="G6" s="190" t="e">
        <f>'ANOP Assessment v1.0'!AF28</f>
        <v>#N/A</v>
      </c>
      <c r="H6" s="190" t="e">
        <f>_xlfn.XLOOKUP('ANOP Assessment v1.0'!AN28,'Data validation'!$J$24:$J$29,'Data validation'!$I$24:$I$29)</f>
        <v>#N/A</v>
      </c>
      <c r="I6" s="190">
        <f>'ANOP Assessment v1.0'!AM28</f>
        <v>0</v>
      </c>
      <c r="J6" s="190" t="e">
        <f t="shared" si="2"/>
        <v>#N/A</v>
      </c>
      <c r="K6" s="190" t="e">
        <f t="shared" si="3"/>
        <v>#N/A</v>
      </c>
      <c r="L6" s="190" t="e">
        <f t="shared" si="4"/>
        <v>#N/A</v>
      </c>
      <c r="M6" s="190" t="e">
        <f>_xlfn.XLOOKUP("True",N6:R6,$N$2:$R$2)</f>
        <v>#N/A</v>
      </c>
      <c r="N6" s="191" t="e">
        <f t="shared" si="5"/>
        <v>#N/A</v>
      </c>
      <c r="O6" s="191" t="e">
        <f t="shared" si="6"/>
        <v>#N/A</v>
      </c>
      <c r="P6" s="191" t="e">
        <f t="shared" si="7"/>
        <v>#N/A</v>
      </c>
      <c r="Q6" s="191" t="e">
        <f t="shared" si="8"/>
        <v>#N/A</v>
      </c>
      <c r="R6" s="191" t="e">
        <f t="shared" si="9"/>
        <v>#N/A</v>
      </c>
    </row>
    <row r="7" spans="2:18" ht="30" customHeight="1" x14ac:dyDescent="0.3">
      <c r="B7" s="192" t="s">
        <v>64</v>
      </c>
      <c r="C7" s="190">
        <f>'ANOP Assessment v1.0'!C39</f>
        <v>0</v>
      </c>
      <c r="D7" s="190">
        <f>'ANOP Assessment v1.0'!AG29</f>
        <v>0</v>
      </c>
      <c r="E7" s="190" t="e">
        <f t="shared" si="1"/>
        <v>#N/A</v>
      </c>
      <c r="F7" s="190" t="e">
        <f>'ANOP Assessment v1.0'!AE29</f>
        <v>#N/A</v>
      </c>
      <c r="G7" s="190" t="e">
        <f>'ANOP Assessment v1.0'!AF29</f>
        <v>#N/A</v>
      </c>
      <c r="H7" s="190" t="e">
        <f>_xlfn.XLOOKUP('ANOP Assessment v1.0'!AN29,'Data validation'!$J$24:$J$29,'Data validation'!$I$24:$I$29)</f>
        <v>#N/A</v>
      </c>
      <c r="I7" s="190">
        <f>'ANOP Assessment v1.0'!AM29</f>
        <v>0</v>
      </c>
      <c r="J7" s="190" t="e">
        <f t="shared" si="2"/>
        <v>#N/A</v>
      </c>
      <c r="K7" s="190" t="e">
        <f t="shared" si="3"/>
        <v>#N/A</v>
      </c>
      <c r="L7" s="190" t="e">
        <f t="shared" si="4"/>
        <v>#N/A</v>
      </c>
      <c r="M7" s="190" t="e">
        <f t="shared" si="0"/>
        <v>#N/A</v>
      </c>
      <c r="N7" s="191" t="e">
        <f t="shared" si="5"/>
        <v>#N/A</v>
      </c>
      <c r="O7" s="191" t="e">
        <f t="shared" si="6"/>
        <v>#N/A</v>
      </c>
      <c r="P7" s="191" t="e">
        <f t="shared" si="7"/>
        <v>#N/A</v>
      </c>
      <c r="Q7" s="191" t="e">
        <f t="shared" si="8"/>
        <v>#N/A</v>
      </c>
      <c r="R7" s="191" t="e">
        <f t="shared" si="9"/>
        <v>#N/A</v>
      </c>
    </row>
    <row r="8" spans="2:18" ht="15" customHeight="1" x14ac:dyDescent="0.3">
      <c r="B8" s="425" t="s">
        <v>97</v>
      </c>
      <c r="C8" s="428" t="str">
        <f>'ANOP Assessment v1.0'!J37</f>
        <v>The Fit Assessment Result will show here once all cells are filled out</v>
      </c>
      <c r="D8" s="428"/>
      <c r="E8" s="428"/>
      <c r="F8" s="428"/>
      <c r="G8" s="428"/>
      <c r="H8" s="428"/>
      <c r="I8" s="428"/>
      <c r="J8" s="428"/>
      <c r="K8" s="428"/>
      <c r="L8" s="428"/>
      <c r="M8" s="428"/>
      <c r="N8" s="193"/>
      <c r="O8" s="63"/>
    </row>
    <row r="9" spans="2:18" ht="15" customHeight="1" x14ac:dyDescent="0.3">
      <c r="B9" s="426"/>
      <c r="C9" s="428"/>
      <c r="D9" s="428"/>
      <c r="E9" s="428"/>
      <c r="F9" s="428"/>
      <c r="G9" s="428"/>
      <c r="H9" s="428"/>
      <c r="I9" s="428"/>
      <c r="J9" s="428"/>
      <c r="K9" s="428"/>
      <c r="L9" s="428"/>
      <c r="M9" s="428"/>
    </row>
    <row r="10" spans="2:18" ht="15" customHeight="1" x14ac:dyDescent="0.3">
      <c r="B10" s="427"/>
      <c r="C10" s="428"/>
      <c r="D10" s="428"/>
      <c r="E10" s="428"/>
      <c r="F10" s="428"/>
      <c r="G10" s="428"/>
      <c r="H10" s="428"/>
      <c r="I10" s="428"/>
      <c r="J10" s="428"/>
      <c r="K10" s="428"/>
      <c r="L10" s="428"/>
      <c r="M10" s="428"/>
    </row>
    <row r="11" spans="2:18" ht="28.25" customHeight="1" x14ac:dyDescent="0.3">
      <c r="C11" s="429" t="str">
        <f>IF(ISERROR(IF(SUM(J3:J7)&gt;0,"* Note: deficiencies remain for one or more modes. Consider whether these should be addressed by the project or development","")),"",IF(SUM(J3:J7)&gt;0,"* Note: deficiencies remain for one or more modes. Consider whether these should be addressed by the project or development",""))</f>
        <v/>
      </c>
      <c r="D11" s="429"/>
      <c r="E11" s="429"/>
      <c r="F11" s="429"/>
      <c r="G11" s="429"/>
      <c r="H11" s="429"/>
      <c r="I11" s="429"/>
      <c r="J11" s="429"/>
      <c r="K11" s="429"/>
      <c r="L11" s="429"/>
      <c r="M11" s="429"/>
    </row>
  </sheetData>
  <sheetProtection algorithmName="SHA-512" hashValue="M3FklfTQoIC7g2Thq320zubIJLR9WqWJv7g7FyjMV9qYD8oXvoCOeC2QO2/GNsydJXad98qX2GKOp+Y/pVX5mw==" saltValue="ea84CENsn3gS1CeWFSP5Iw==" spinCount="100000" sheet="1" objects="1" scenarios="1"/>
  <mergeCells count="3">
    <mergeCell ref="B8:B10"/>
    <mergeCell ref="C8:M10"/>
    <mergeCell ref="C11:M11"/>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0000000-000E-0000-0400-000001000000}">
            <xm:f>'ANOP Assessment v1.0'!$AE$62="H"</xm:f>
            <x14:dxf>
              <fill>
                <patternFill>
                  <bgColor rgb="FF92D050"/>
                </patternFill>
              </fill>
            </x14:dxf>
          </x14:cfRule>
          <x14:cfRule type="expression" priority="2" id="{00000000-000E-0000-0400-000002000000}">
            <xm:f>'ANOP Assessment v1.0'!$AE$62="M"</xm:f>
            <x14:dxf>
              <fill>
                <patternFill>
                  <bgColor rgb="FFFFC000"/>
                </patternFill>
              </fill>
            </x14:dxf>
          </x14:cfRule>
          <x14:cfRule type="expression" priority="3" id="{00000000-000E-0000-0400-000003000000}">
            <xm:f>'ANOP Assessment v1.0'!$AE$62="L"</xm:f>
            <x14:dxf>
              <fill>
                <patternFill>
                  <bgColor rgb="FFFF3300"/>
                </patternFill>
              </fill>
            </x14:dxf>
          </x14:cfRule>
          <xm:sqref>C8:E8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E4DF-BB71-4942-97F3-DFDBFFFCED05}">
  <sheetPr codeName="Sheet1">
    <tabColor rgb="FF001930"/>
  </sheetPr>
  <dimension ref="A1:Q93"/>
  <sheetViews>
    <sheetView showGridLines="0" zoomScale="120" zoomScaleNormal="120" workbookViewId="0">
      <selection activeCell="C1" sqref="C1:C1048576"/>
    </sheetView>
  </sheetViews>
  <sheetFormatPr defaultColWidth="9.08984375" defaultRowHeight="14" x14ac:dyDescent="0.35"/>
  <cols>
    <col min="1" max="1" width="22.453125" style="63" customWidth="1"/>
    <col min="2" max="2" width="24.453125" style="63" customWidth="1"/>
    <col min="3" max="3" width="24.453125" style="63" hidden="1" customWidth="1"/>
    <col min="4" max="9" width="19.54296875" style="63" customWidth="1"/>
    <col min="10" max="16384" width="9.08984375" style="63"/>
  </cols>
  <sheetData>
    <row r="1" spans="1:17" ht="35.25" customHeight="1" x14ac:dyDescent="0.3">
      <c r="A1" s="115"/>
      <c r="B1" s="115"/>
      <c r="C1" s="115"/>
      <c r="D1" s="435" t="s">
        <v>36</v>
      </c>
      <c r="E1" s="436"/>
      <c r="F1" s="436"/>
      <c r="H1" s="64"/>
      <c r="I1" s="64"/>
      <c r="J1" s="64"/>
      <c r="O1" s="64"/>
      <c r="P1" s="64"/>
      <c r="Q1" s="64"/>
    </row>
    <row r="2" spans="1:17" ht="42.5" thickBot="1" x14ac:dyDescent="0.35">
      <c r="A2" s="116" t="s">
        <v>135</v>
      </c>
      <c r="B2" s="117" t="s">
        <v>136</v>
      </c>
      <c r="C2" s="117"/>
      <c r="D2" s="116" t="s">
        <v>137</v>
      </c>
      <c r="E2" s="116" t="s">
        <v>138</v>
      </c>
      <c r="F2" s="116" t="s">
        <v>139</v>
      </c>
      <c r="H2" s="64"/>
      <c r="I2" s="64"/>
      <c r="O2" s="64"/>
      <c r="P2" s="64"/>
      <c r="Q2" s="64"/>
    </row>
    <row r="3" spans="1:17" x14ac:dyDescent="0.3">
      <c r="A3" s="437" t="s">
        <v>140</v>
      </c>
      <c r="B3" s="65" t="s">
        <v>141</v>
      </c>
      <c r="C3" s="65" t="s">
        <v>52</v>
      </c>
      <c r="D3" s="66" t="s">
        <v>78</v>
      </c>
      <c r="E3" s="66" t="s">
        <v>78</v>
      </c>
      <c r="F3" s="67" t="s">
        <v>78</v>
      </c>
      <c r="H3" s="64"/>
      <c r="I3" s="64"/>
      <c r="O3" s="64"/>
      <c r="P3" s="64"/>
      <c r="Q3" s="64"/>
    </row>
    <row r="4" spans="1:17" x14ac:dyDescent="0.3">
      <c r="A4" s="438"/>
      <c r="B4" s="68" t="s">
        <v>142</v>
      </c>
      <c r="C4" s="68" t="s">
        <v>143</v>
      </c>
      <c r="D4" s="69" t="s">
        <v>144</v>
      </c>
      <c r="E4" s="69" t="s">
        <v>144</v>
      </c>
      <c r="F4" s="70" t="s">
        <v>144</v>
      </c>
      <c r="H4" s="64"/>
      <c r="I4" s="64"/>
      <c r="O4" s="64"/>
      <c r="P4" s="64"/>
      <c r="Q4" s="64"/>
    </row>
    <row r="5" spans="1:17" x14ac:dyDescent="0.3">
      <c r="A5" s="438"/>
      <c r="B5" s="68" t="s">
        <v>145</v>
      </c>
      <c r="C5" s="68" t="s">
        <v>145</v>
      </c>
      <c r="D5" s="71" t="s">
        <v>83</v>
      </c>
      <c r="E5" s="71" t="s">
        <v>83</v>
      </c>
      <c r="F5" s="72" t="s">
        <v>83</v>
      </c>
      <c r="H5" s="64"/>
      <c r="I5" s="64"/>
      <c r="O5" s="64"/>
      <c r="P5" s="64"/>
      <c r="Q5" s="64"/>
    </row>
    <row r="6" spans="1:17" ht="14.5" thickBot="1" x14ac:dyDescent="0.35">
      <c r="A6" s="439"/>
      <c r="B6" s="73" t="s">
        <v>130</v>
      </c>
      <c r="C6" s="73" t="s">
        <v>130</v>
      </c>
      <c r="D6" s="74" t="s">
        <v>83</v>
      </c>
      <c r="E6" s="74" t="s">
        <v>83</v>
      </c>
      <c r="F6" s="75" t="s">
        <v>83</v>
      </c>
      <c r="H6" s="64"/>
      <c r="I6" s="64"/>
      <c r="O6" s="64"/>
      <c r="P6" s="64"/>
      <c r="Q6" s="64"/>
    </row>
    <row r="7" spans="1:17" x14ac:dyDescent="0.3">
      <c r="A7" s="443" t="s">
        <v>146</v>
      </c>
      <c r="B7" s="304" t="s">
        <v>147</v>
      </c>
      <c r="C7" s="304" t="s">
        <v>55</v>
      </c>
      <c r="D7" s="305" t="s">
        <v>78</v>
      </c>
      <c r="E7" s="305" t="s">
        <v>78</v>
      </c>
      <c r="F7" s="306" t="s">
        <v>78</v>
      </c>
      <c r="H7" s="64"/>
      <c r="I7" s="64"/>
      <c r="O7" s="64"/>
      <c r="P7" s="64"/>
      <c r="Q7" s="64"/>
    </row>
    <row r="8" spans="1:17" x14ac:dyDescent="0.3">
      <c r="A8" s="444"/>
      <c r="B8" s="68" t="s">
        <v>148</v>
      </c>
      <c r="C8" s="68" t="s">
        <v>149</v>
      </c>
      <c r="D8" s="76" t="s">
        <v>78</v>
      </c>
      <c r="E8" s="76" t="s">
        <v>78</v>
      </c>
      <c r="F8" s="303" t="s">
        <v>78</v>
      </c>
      <c r="H8" s="64"/>
      <c r="I8" s="64"/>
      <c r="O8" s="64"/>
      <c r="P8" s="64"/>
      <c r="Q8" s="64"/>
    </row>
    <row r="9" spans="1:17" x14ac:dyDescent="0.3">
      <c r="A9" s="444"/>
      <c r="B9" s="68" t="s">
        <v>150</v>
      </c>
      <c r="C9" s="68" t="s">
        <v>151</v>
      </c>
      <c r="D9" s="71" t="s">
        <v>83</v>
      </c>
      <c r="E9" s="71" t="s">
        <v>83</v>
      </c>
      <c r="F9" s="71" t="s">
        <v>83</v>
      </c>
      <c r="H9" s="64"/>
      <c r="I9" s="64"/>
      <c r="O9" s="64"/>
      <c r="P9" s="64"/>
      <c r="Q9" s="64"/>
    </row>
    <row r="10" spans="1:17" x14ac:dyDescent="0.3">
      <c r="A10" s="444"/>
      <c r="B10" s="68" t="s">
        <v>152</v>
      </c>
      <c r="C10" s="68" t="s">
        <v>152</v>
      </c>
      <c r="D10" s="71" t="s">
        <v>83</v>
      </c>
      <c r="E10" s="71" t="s">
        <v>83</v>
      </c>
      <c r="F10" s="71" t="s">
        <v>83</v>
      </c>
      <c r="H10" s="64"/>
      <c r="I10" s="64"/>
      <c r="O10" s="64"/>
      <c r="P10" s="64"/>
      <c r="Q10" s="64"/>
    </row>
    <row r="11" spans="1:17" x14ac:dyDescent="0.3">
      <c r="A11" s="444"/>
      <c r="B11" s="68" t="s">
        <v>153</v>
      </c>
      <c r="C11" s="68" t="s">
        <v>153</v>
      </c>
      <c r="D11" s="71" t="s">
        <v>83</v>
      </c>
      <c r="E11" s="71" t="s">
        <v>83</v>
      </c>
      <c r="F11" s="71" t="s">
        <v>83</v>
      </c>
      <c r="H11" s="64"/>
      <c r="I11" s="64"/>
      <c r="O11" s="64"/>
      <c r="P11" s="64"/>
      <c r="Q11" s="64"/>
    </row>
    <row r="12" spans="1:17" x14ac:dyDescent="0.3">
      <c r="A12" s="444"/>
      <c r="B12" s="68" t="s">
        <v>154</v>
      </c>
      <c r="C12" s="68" t="s">
        <v>154</v>
      </c>
      <c r="D12" s="71" t="s">
        <v>83</v>
      </c>
      <c r="E12" s="71" t="s">
        <v>83</v>
      </c>
      <c r="F12" s="71" t="s">
        <v>83</v>
      </c>
      <c r="H12" s="64"/>
      <c r="I12" s="64"/>
      <c r="O12" s="64"/>
      <c r="P12" s="64"/>
      <c r="Q12" s="64"/>
    </row>
    <row r="13" spans="1:17" ht="14.5" thickBot="1" x14ac:dyDescent="0.35">
      <c r="A13" s="445"/>
      <c r="B13" s="73" t="s">
        <v>130</v>
      </c>
      <c r="C13" s="73" t="s">
        <v>130</v>
      </c>
      <c r="D13" s="79" t="s">
        <v>155</v>
      </c>
      <c r="E13" s="79" t="s">
        <v>155</v>
      </c>
      <c r="F13" s="79" t="s">
        <v>155</v>
      </c>
      <c r="H13" s="64"/>
      <c r="I13" s="64"/>
      <c r="O13" s="64"/>
      <c r="P13" s="64"/>
      <c r="Q13" s="64"/>
    </row>
    <row r="14" spans="1:17" x14ac:dyDescent="0.3">
      <c r="A14" s="450" t="s">
        <v>156</v>
      </c>
      <c r="B14" s="65" t="s">
        <v>157</v>
      </c>
      <c r="C14" s="65" t="s">
        <v>158</v>
      </c>
      <c r="D14" s="66" t="s">
        <v>78</v>
      </c>
      <c r="E14" s="66" t="s">
        <v>78</v>
      </c>
      <c r="F14" s="67" t="s">
        <v>78</v>
      </c>
      <c r="H14" s="64"/>
      <c r="I14" s="64"/>
      <c r="O14" s="64"/>
      <c r="P14" s="64"/>
      <c r="Q14" s="64"/>
    </row>
    <row r="15" spans="1:17" x14ac:dyDescent="0.3">
      <c r="A15" s="451"/>
      <c r="B15" s="304" t="s">
        <v>601</v>
      </c>
      <c r="C15" s="304" t="str">
        <f>B15</f>
        <v>Interim Rapid Transit Network</v>
      </c>
      <c r="D15" s="69" t="s">
        <v>144</v>
      </c>
      <c r="E15" s="69" t="s">
        <v>144</v>
      </c>
      <c r="F15" s="70" t="s">
        <v>144</v>
      </c>
      <c r="H15" s="64"/>
      <c r="I15" s="64"/>
      <c r="O15" s="64"/>
      <c r="P15" s="64"/>
      <c r="Q15" s="64"/>
    </row>
    <row r="16" spans="1:17" x14ac:dyDescent="0.3">
      <c r="A16" s="451"/>
      <c r="B16" s="68" t="s">
        <v>159</v>
      </c>
      <c r="C16" s="68" t="s">
        <v>58</v>
      </c>
      <c r="D16" s="69" t="s">
        <v>144</v>
      </c>
      <c r="E16" s="69" t="s">
        <v>144</v>
      </c>
      <c r="F16" s="70" t="s">
        <v>144</v>
      </c>
      <c r="H16" s="78"/>
      <c r="I16" s="64"/>
      <c r="O16" s="64"/>
      <c r="P16" s="64"/>
      <c r="Q16" s="64"/>
    </row>
    <row r="17" spans="1:17" x14ac:dyDescent="0.3">
      <c r="A17" s="451"/>
      <c r="B17" s="68" t="s">
        <v>160</v>
      </c>
      <c r="C17" s="68" t="s">
        <v>161</v>
      </c>
      <c r="D17" s="69" t="s">
        <v>144</v>
      </c>
      <c r="E17" s="69" t="s">
        <v>144</v>
      </c>
      <c r="F17" s="70" t="s">
        <v>144</v>
      </c>
      <c r="H17" s="64"/>
      <c r="I17" s="64"/>
      <c r="O17" s="64"/>
      <c r="P17" s="64"/>
      <c r="Q17" s="64"/>
    </row>
    <row r="18" spans="1:17" ht="23" x14ac:dyDescent="0.3">
      <c r="A18" s="451"/>
      <c r="B18" s="68" t="s">
        <v>162</v>
      </c>
      <c r="C18" s="68" t="s">
        <v>162</v>
      </c>
      <c r="D18" s="71" t="s">
        <v>83</v>
      </c>
      <c r="E18" s="71" t="s">
        <v>83</v>
      </c>
      <c r="F18" s="72" t="s">
        <v>83</v>
      </c>
      <c r="H18" s="64"/>
      <c r="I18" s="64"/>
      <c r="O18" s="64"/>
      <c r="P18" s="64"/>
      <c r="Q18" s="64"/>
    </row>
    <row r="19" spans="1:17" ht="23" x14ac:dyDescent="0.3">
      <c r="A19" s="451"/>
      <c r="B19" s="68" t="s">
        <v>163</v>
      </c>
      <c r="C19" s="68" t="s">
        <v>163</v>
      </c>
      <c r="D19" s="79" t="s">
        <v>155</v>
      </c>
      <c r="E19" s="79" t="s">
        <v>155</v>
      </c>
      <c r="F19" s="80" t="s">
        <v>155</v>
      </c>
      <c r="H19" s="64"/>
      <c r="I19" s="64"/>
      <c r="O19" s="64"/>
      <c r="P19" s="64"/>
      <c r="Q19" s="64"/>
    </row>
    <row r="20" spans="1:17" ht="23" x14ac:dyDescent="0.3">
      <c r="A20" s="451"/>
      <c r="B20" s="68" t="s">
        <v>164</v>
      </c>
      <c r="C20" s="68" t="s">
        <v>164</v>
      </c>
      <c r="D20" s="71" t="s">
        <v>83</v>
      </c>
      <c r="E20" s="71" t="s">
        <v>83</v>
      </c>
      <c r="F20" s="72" t="s">
        <v>83</v>
      </c>
      <c r="H20" s="64"/>
      <c r="I20" s="64"/>
      <c r="O20" s="64"/>
      <c r="P20" s="64"/>
      <c r="Q20" s="64"/>
    </row>
    <row r="21" spans="1:17" ht="14.5" thickBot="1" x14ac:dyDescent="0.35">
      <c r="A21" s="452"/>
      <c r="B21" s="81" t="s">
        <v>130</v>
      </c>
      <c r="C21" s="81" t="s">
        <v>130</v>
      </c>
      <c r="D21" s="84" t="s">
        <v>81</v>
      </c>
      <c r="E21" s="84" t="s">
        <v>81</v>
      </c>
      <c r="F21" s="77" t="s">
        <v>155</v>
      </c>
      <c r="H21" s="64"/>
      <c r="I21" s="64"/>
      <c r="O21" s="64"/>
      <c r="P21" s="64"/>
      <c r="Q21" s="64"/>
    </row>
    <row r="22" spans="1:17" x14ac:dyDescent="0.3">
      <c r="A22" s="440" t="s">
        <v>165</v>
      </c>
      <c r="B22" s="304" t="s">
        <v>166</v>
      </c>
      <c r="C22" s="304" t="s">
        <v>167</v>
      </c>
      <c r="D22" s="307" t="s">
        <v>155</v>
      </c>
      <c r="E22" s="308" t="s">
        <v>83</v>
      </c>
      <c r="F22" s="309" t="s">
        <v>144</v>
      </c>
      <c r="H22" s="64"/>
      <c r="I22" s="64"/>
      <c r="O22" s="64"/>
      <c r="P22" s="64"/>
      <c r="Q22" s="64"/>
    </row>
    <row r="23" spans="1:17" x14ac:dyDescent="0.3">
      <c r="A23" s="441"/>
      <c r="B23" s="68" t="s">
        <v>168</v>
      </c>
      <c r="C23" s="68" t="s">
        <v>169</v>
      </c>
      <c r="D23" s="79" t="s">
        <v>155</v>
      </c>
      <c r="E23" s="71" t="s">
        <v>83</v>
      </c>
      <c r="F23" s="302" t="s">
        <v>144</v>
      </c>
      <c r="H23" s="64"/>
      <c r="I23" s="64"/>
      <c r="O23" s="64"/>
      <c r="P23" s="64"/>
      <c r="Q23" s="64"/>
    </row>
    <row r="24" spans="1:17" x14ac:dyDescent="0.3">
      <c r="A24" s="441"/>
      <c r="B24" s="68" t="s">
        <v>170</v>
      </c>
      <c r="C24" s="68" t="s">
        <v>61</v>
      </c>
      <c r="D24" s="83" t="s">
        <v>81</v>
      </c>
      <c r="E24" s="79" t="s">
        <v>155</v>
      </c>
      <c r="F24" s="71" t="s">
        <v>83</v>
      </c>
      <c r="H24" s="64"/>
      <c r="I24" s="64"/>
      <c r="O24" s="64"/>
      <c r="P24" s="64"/>
      <c r="Q24" s="64"/>
    </row>
    <row r="25" spans="1:17" x14ac:dyDescent="0.3">
      <c r="A25" s="441"/>
      <c r="B25" s="68" t="s">
        <v>171</v>
      </c>
      <c r="C25" s="68" t="s">
        <v>172</v>
      </c>
      <c r="D25" s="83" t="s">
        <v>81</v>
      </c>
      <c r="E25" s="79" t="s">
        <v>155</v>
      </c>
      <c r="F25" s="71" t="s">
        <v>83</v>
      </c>
      <c r="H25" s="64"/>
      <c r="I25" s="64"/>
      <c r="O25" s="64"/>
      <c r="P25" s="64"/>
      <c r="Q25" s="64"/>
    </row>
    <row r="26" spans="1:17" x14ac:dyDescent="0.3">
      <c r="A26" s="441"/>
      <c r="B26" s="68" t="s">
        <v>173</v>
      </c>
      <c r="C26" s="68" t="s">
        <v>174</v>
      </c>
      <c r="D26" s="83" t="s">
        <v>81</v>
      </c>
      <c r="E26" s="79" t="s">
        <v>155</v>
      </c>
      <c r="F26" s="71" t="s">
        <v>83</v>
      </c>
      <c r="H26" s="64"/>
      <c r="I26" s="64"/>
      <c r="O26" s="64"/>
      <c r="P26" s="64"/>
      <c r="Q26" s="64"/>
    </row>
    <row r="27" spans="1:17" ht="23" x14ac:dyDescent="0.3">
      <c r="A27" s="441"/>
      <c r="B27" s="68" t="s">
        <v>175</v>
      </c>
      <c r="C27" s="68" t="s">
        <v>176</v>
      </c>
      <c r="D27" s="83" t="s">
        <v>81</v>
      </c>
      <c r="E27" s="79" t="s">
        <v>155</v>
      </c>
      <c r="F27" s="71" t="s">
        <v>83</v>
      </c>
      <c r="H27" s="64"/>
      <c r="I27" s="64"/>
      <c r="O27" s="64"/>
      <c r="P27" s="64"/>
      <c r="Q27" s="64"/>
    </row>
    <row r="28" spans="1:17" ht="23" x14ac:dyDescent="0.3">
      <c r="A28" s="441"/>
      <c r="B28" s="68" t="s">
        <v>177</v>
      </c>
      <c r="C28" s="68" t="s">
        <v>178</v>
      </c>
      <c r="D28" s="83" t="s">
        <v>81</v>
      </c>
      <c r="E28" s="79" t="s">
        <v>155</v>
      </c>
      <c r="F28" s="71" t="s">
        <v>83</v>
      </c>
      <c r="H28" s="64"/>
      <c r="I28" s="64"/>
      <c r="O28" s="64"/>
      <c r="P28" s="64"/>
      <c r="Q28" s="64"/>
    </row>
    <row r="29" spans="1:17" x14ac:dyDescent="0.3">
      <c r="A29" s="441"/>
      <c r="B29" s="68" t="s">
        <v>179</v>
      </c>
      <c r="C29" s="68" t="s">
        <v>180</v>
      </c>
      <c r="D29" s="83" t="s">
        <v>81</v>
      </c>
      <c r="E29" s="79" t="s">
        <v>155</v>
      </c>
      <c r="F29" s="71" t="s">
        <v>83</v>
      </c>
      <c r="H29" s="64"/>
      <c r="I29" s="64"/>
      <c r="O29" s="64"/>
      <c r="P29" s="64"/>
      <c r="Q29" s="64"/>
    </row>
    <row r="30" spans="1:17" ht="14.5" thickBot="1" x14ac:dyDescent="0.35">
      <c r="A30" s="442"/>
      <c r="B30" s="73" t="s">
        <v>181</v>
      </c>
      <c r="C30" s="73" t="s">
        <v>130</v>
      </c>
      <c r="D30" s="83" t="s">
        <v>81</v>
      </c>
      <c r="E30" s="83" t="s">
        <v>81</v>
      </c>
      <c r="F30" s="79" t="s">
        <v>155</v>
      </c>
      <c r="G30" s="64"/>
      <c r="H30" s="64"/>
      <c r="I30" s="64"/>
      <c r="O30" s="64"/>
      <c r="P30" s="64"/>
      <c r="Q30" s="64"/>
    </row>
    <row r="31" spans="1:17" x14ac:dyDescent="0.3">
      <c r="A31" s="446" t="s">
        <v>182</v>
      </c>
      <c r="B31" s="65" t="s">
        <v>183</v>
      </c>
      <c r="C31" s="65" t="s">
        <v>184</v>
      </c>
      <c r="D31" s="85" t="s">
        <v>144</v>
      </c>
      <c r="E31" s="85" t="s">
        <v>144</v>
      </c>
      <c r="F31" s="82" t="s">
        <v>144</v>
      </c>
      <c r="G31" s="64"/>
      <c r="H31" s="64"/>
      <c r="I31" s="64"/>
      <c r="O31" s="64"/>
      <c r="P31" s="64"/>
      <c r="Q31" s="64"/>
    </row>
    <row r="32" spans="1:17" x14ac:dyDescent="0.3">
      <c r="A32" s="447"/>
      <c r="B32" s="68" t="s">
        <v>185</v>
      </c>
      <c r="C32" s="68" t="s">
        <v>186</v>
      </c>
      <c r="D32" s="79" t="s">
        <v>155</v>
      </c>
      <c r="E32" s="71" t="s">
        <v>83</v>
      </c>
      <c r="F32" s="70" t="s">
        <v>144</v>
      </c>
      <c r="G32" s="64"/>
      <c r="I32" s="64"/>
      <c r="O32" s="64"/>
      <c r="P32" s="64"/>
      <c r="Q32" s="64"/>
    </row>
    <row r="33" spans="1:17" x14ac:dyDescent="0.3">
      <c r="A33" s="447"/>
      <c r="B33" s="68" t="s">
        <v>187</v>
      </c>
      <c r="C33" s="68" t="s">
        <v>63</v>
      </c>
      <c r="D33" s="79" t="s">
        <v>155</v>
      </c>
      <c r="E33" s="71" t="s">
        <v>83</v>
      </c>
      <c r="F33" s="70" t="s">
        <v>144</v>
      </c>
      <c r="G33" s="64"/>
      <c r="I33" s="64"/>
      <c r="O33" s="64"/>
      <c r="P33" s="64"/>
      <c r="Q33" s="64"/>
    </row>
    <row r="34" spans="1:17" ht="23" x14ac:dyDescent="0.3">
      <c r="A34" s="447"/>
      <c r="B34" s="68" t="s">
        <v>188</v>
      </c>
      <c r="C34" s="68" t="s">
        <v>189</v>
      </c>
      <c r="D34" s="79" t="s">
        <v>155</v>
      </c>
      <c r="E34" s="71" t="s">
        <v>83</v>
      </c>
      <c r="F34" s="70" t="s">
        <v>144</v>
      </c>
      <c r="G34" s="64"/>
      <c r="I34" s="64"/>
      <c r="O34" s="64"/>
      <c r="P34" s="64"/>
      <c r="Q34" s="64"/>
    </row>
    <row r="35" spans="1:17" x14ac:dyDescent="0.3">
      <c r="A35" s="447"/>
      <c r="B35" s="68" t="s">
        <v>190</v>
      </c>
      <c r="C35" s="68" t="s">
        <v>191</v>
      </c>
      <c r="D35" s="83" t="s">
        <v>81</v>
      </c>
      <c r="E35" s="79" t="s">
        <v>155</v>
      </c>
      <c r="F35" s="72" t="s">
        <v>83</v>
      </c>
      <c r="G35" s="64"/>
      <c r="I35" s="64"/>
      <c r="O35" s="64"/>
      <c r="P35" s="64"/>
      <c r="Q35" s="64"/>
    </row>
    <row r="36" spans="1:17" ht="14.5" thickBot="1" x14ac:dyDescent="0.35">
      <c r="A36" s="448"/>
      <c r="B36" s="73" t="s">
        <v>192</v>
      </c>
      <c r="C36" s="73" t="s">
        <v>193</v>
      </c>
      <c r="D36" s="84" t="s">
        <v>81</v>
      </c>
      <c r="E36" s="84" t="s">
        <v>81</v>
      </c>
      <c r="F36" s="77" t="s">
        <v>155</v>
      </c>
      <c r="G36" s="64"/>
      <c r="I36" s="64"/>
      <c r="O36" s="64"/>
      <c r="P36" s="64"/>
      <c r="Q36" s="64"/>
    </row>
    <row r="37" spans="1:17" ht="28.5" customHeight="1" x14ac:dyDescent="0.35">
      <c r="A37" s="460" t="s">
        <v>194</v>
      </c>
      <c r="B37" s="460"/>
      <c r="C37" s="460"/>
      <c r="D37" s="460"/>
      <c r="E37" s="460"/>
      <c r="F37" s="460"/>
    </row>
    <row r="38" spans="1:17" x14ac:dyDescent="0.35">
      <c r="A38" s="449" t="s">
        <v>195</v>
      </c>
      <c r="B38" s="449"/>
      <c r="C38" s="449"/>
      <c r="D38" s="449"/>
      <c r="E38" s="449"/>
    </row>
    <row r="41" spans="1:17" s="64" customFormat="1" ht="15" customHeight="1" x14ac:dyDescent="0.35">
      <c r="A41" s="118" t="s">
        <v>196</v>
      </c>
    </row>
    <row r="59" spans="1:6" x14ac:dyDescent="0.3">
      <c r="A59" s="119" t="s">
        <v>197</v>
      </c>
    </row>
    <row r="62" spans="1:6" x14ac:dyDescent="0.35">
      <c r="A62" s="86" t="s">
        <v>135</v>
      </c>
      <c r="B62" s="87" t="s">
        <v>136</v>
      </c>
      <c r="C62" s="88"/>
      <c r="D62" s="89" t="s">
        <v>198</v>
      </c>
      <c r="E62" s="86" t="s">
        <v>199</v>
      </c>
      <c r="F62" s="90" t="s">
        <v>200</v>
      </c>
    </row>
    <row r="63" spans="1:6" x14ac:dyDescent="0.35">
      <c r="A63" s="453" t="s">
        <v>140</v>
      </c>
      <c r="B63" s="91" t="s">
        <v>141</v>
      </c>
      <c r="C63" s="92"/>
      <c r="D63" s="93" t="s">
        <v>78</v>
      </c>
      <c r="E63" s="94" t="s">
        <v>78</v>
      </c>
      <c r="F63" s="95" t="s">
        <v>78</v>
      </c>
    </row>
    <row r="64" spans="1:6" x14ac:dyDescent="0.35">
      <c r="A64" s="453"/>
      <c r="B64" s="96" t="s">
        <v>142</v>
      </c>
      <c r="C64" s="97"/>
      <c r="D64" s="98" t="s">
        <v>144</v>
      </c>
      <c r="E64" s="99" t="s">
        <v>144</v>
      </c>
      <c r="F64" s="100" t="s">
        <v>144</v>
      </c>
    </row>
    <row r="65" spans="1:6" x14ac:dyDescent="0.35">
      <c r="A65" s="453"/>
      <c r="B65" s="96" t="s">
        <v>201</v>
      </c>
      <c r="C65" s="97"/>
      <c r="D65" s="101" t="s">
        <v>83</v>
      </c>
      <c r="E65" s="102" t="s">
        <v>83</v>
      </c>
      <c r="F65" s="103" t="s">
        <v>83</v>
      </c>
    </row>
    <row r="66" spans="1:6" x14ac:dyDescent="0.35">
      <c r="A66" s="454"/>
      <c r="B66" s="96" t="s">
        <v>202</v>
      </c>
      <c r="C66" s="97"/>
      <c r="D66" s="101" t="s">
        <v>83</v>
      </c>
      <c r="E66" s="102" t="s">
        <v>83</v>
      </c>
      <c r="F66" s="103" t="s">
        <v>83</v>
      </c>
    </row>
    <row r="67" spans="1:6" x14ac:dyDescent="0.35">
      <c r="A67" s="455" t="s">
        <v>146</v>
      </c>
      <c r="B67" s="96" t="s">
        <v>147</v>
      </c>
      <c r="C67" s="97"/>
      <c r="D67" s="104" t="s">
        <v>78</v>
      </c>
      <c r="E67" s="105" t="s">
        <v>78</v>
      </c>
      <c r="F67" s="106" t="s">
        <v>78</v>
      </c>
    </row>
    <row r="68" spans="1:6" x14ac:dyDescent="0.35">
      <c r="A68" s="456"/>
      <c r="B68" s="96" t="s">
        <v>148</v>
      </c>
      <c r="C68" s="97"/>
      <c r="D68" s="104" t="s">
        <v>78</v>
      </c>
      <c r="E68" s="105" t="s">
        <v>78</v>
      </c>
      <c r="F68" s="106" t="s">
        <v>78</v>
      </c>
    </row>
    <row r="69" spans="1:6" x14ac:dyDescent="0.35">
      <c r="A69" s="456"/>
      <c r="B69" s="96" t="s">
        <v>151</v>
      </c>
      <c r="C69" s="97"/>
      <c r="D69" s="98" t="s">
        <v>144</v>
      </c>
      <c r="E69" s="99" t="s">
        <v>144</v>
      </c>
      <c r="F69" s="100" t="s">
        <v>144</v>
      </c>
    </row>
    <row r="70" spans="1:6" x14ac:dyDescent="0.35">
      <c r="A70" s="456"/>
      <c r="B70" s="96" t="s">
        <v>203</v>
      </c>
      <c r="C70" s="97"/>
      <c r="D70" s="101" t="s">
        <v>83</v>
      </c>
      <c r="E70" s="102" t="s">
        <v>83</v>
      </c>
      <c r="F70" s="103" t="s">
        <v>83</v>
      </c>
    </row>
    <row r="71" spans="1:6" x14ac:dyDescent="0.35">
      <c r="A71" s="456"/>
      <c r="B71" s="96" t="s">
        <v>204</v>
      </c>
      <c r="C71" s="97"/>
      <c r="D71" s="101" t="s">
        <v>83</v>
      </c>
      <c r="E71" s="102" t="s">
        <v>83</v>
      </c>
      <c r="F71" s="103" t="s">
        <v>83</v>
      </c>
    </row>
    <row r="72" spans="1:6" x14ac:dyDescent="0.35">
      <c r="A72" s="456"/>
      <c r="B72" s="96" t="s">
        <v>205</v>
      </c>
      <c r="C72" s="97"/>
      <c r="D72" s="101" t="s">
        <v>83</v>
      </c>
      <c r="E72" s="102" t="s">
        <v>83</v>
      </c>
      <c r="F72" s="103" t="s">
        <v>83</v>
      </c>
    </row>
    <row r="73" spans="1:6" x14ac:dyDescent="0.35">
      <c r="A73" s="457"/>
      <c r="B73" s="96" t="s">
        <v>130</v>
      </c>
      <c r="C73" s="97"/>
      <c r="D73" s="107" t="s">
        <v>155</v>
      </c>
      <c r="E73" s="108" t="s">
        <v>155</v>
      </c>
      <c r="F73" s="109" t="s">
        <v>155</v>
      </c>
    </row>
    <row r="74" spans="1:6" x14ac:dyDescent="0.35">
      <c r="A74" s="458" t="s">
        <v>156</v>
      </c>
      <c r="B74" s="96" t="s">
        <v>206</v>
      </c>
      <c r="C74" s="97"/>
      <c r="D74" s="104" t="s">
        <v>78</v>
      </c>
      <c r="E74" s="105" t="s">
        <v>78</v>
      </c>
      <c r="F74" s="106" t="s">
        <v>78</v>
      </c>
    </row>
    <row r="75" spans="1:6" x14ac:dyDescent="0.35">
      <c r="A75" s="459"/>
      <c r="B75" s="96" t="s">
        <v>207</v>
      </c>
      <c r="C75" s="97"/>
      <c r="D75" s="98" t="s">
        <v>144</v>
      </c>
      <c r="E75" s="99" t="s">
        <v>144</v>
      </c>
      <c r="F75" s="100" t="s">
        <v>144</v>
      </c>
    </row>
    <row r="76" spans="1:6" x14ac:dyDescent="0.35">
      <c r="A76" s="459"/>
      <c r="B76" s="96" t="s">
        <v>208</v>
      </c>
      <c r="C76" s="97"/>
      <c r="D76" s="101" t="s">
        <v>83</v>
      </c>
      <c r="E76" s="99" t="s">
        <v>144</v>
      </c>
      <c r="F76" s="103" t="s">
        <v>83</v>
      </c>
    </row>
    <row r="77" spans="1:6" x14ac:dyDescent="0.35">
      <c r="A77" s="459"/>
      <c r="B77" s="96" t="s">
        <v>209</v>
      </c>
      <c r="C77" s="97"/>
      <c r="D77" s="101" t="s">
        <v>83</v>
      </c>
      <c r="E77" s="99" t="s">
        <v>144</v>
      </c>
      <c r="F77" s="103" t="s">
        <v>83</v>
      </c>
    </row>
    <row r="78" spans="1:6" x14ac:dyDescent="0.35">
      <c r="A78" s="459"/>
      <c r="B78" s="96" t="s">
        <v>210</v>
      </c>
      <c r="C78" s="97"/>
      <c r="D78" s="101" t="s">
        <v>83</v>
      </c>
      <c r="E78" s="102" t="s">
        <v>83</v>
      </c>
      <c r="F78" s="103" t="s">
        <v>83</v>
      </c>
    </row>
    <row r="79" spans="1:6" x14ac:dyDescent="0.35">
      <c r="A79" s="459"/>
      <c r="B79" s="96" t="s">
        <v>211</v>
      </c>
      <c r="C79" s="97"/>
      <c r="D79" s="107" t="s">
        <v>155</v>
      </c>
      <c r="E79" s="108" t="s">
        <v>155</v>
      </c>
      <c r="F79" s="109" t="s">
        <v>155</v>
      </c>
    </row>
    <row r="80" spans="1:6" x14ac:dyDescent="0.35">
      <c r="A80" s="459"/>
      <c r="B80" s="96" t="s">
        <v>212</v>
      </c>
      <c r="C80" s="97"/>
      <c r="D80" s="101" t="s">
        <v>83</v>
      </c>
      <c r="E80" s="110" t="s">
        <v>213</v>
      </c>
      <c r="F80" s="103" t="s">
        <v>83</v>
      </c>
    </row>
    <row r="81" spans="1:6" x14ac:dyDescent="0.35">
      <c r="A81" s="430" t="s">
        <v>165</v>
      </c>
      <c r="B81" s="96" t="s">
        <v>166</v>
      </c>
      <c r="C81" s="97"/>
      <c r="D81" s="98" t="s">
        <v>144</v>
      </c>
      <c r="E81" s="105" t="s">
        <v>78</v>
      </c>
      <c r="F81" s="100" t="s">
        <v>144</v>
      </c>
    </row>
    <row r="82" spans="1:6" x14ac:dyDescent="0.35">
      <c r="A82" s="431"/>
      <c r="B82" s="96" t="s">
        <v>168</v>
      </c>
      <c r="C82" s="97"/>
      <c r="D82" s="98" t="s">
        <v>144</v>
      </c>
      <c r="E82" s="102" t="s">
        <v>83</v>
      </c>
      <c r="F82" s="100" t="s">
        <v>144</v>
      </c>
    </row>
    <row r="83" spans="1:6" x14ac:dyDescent="0.35">
      <c r="A83" s="431"/>
      <c r="B83" s="96" t="s">
        <v>214</v>
      </c>
      <c r="C83" s="97"/>
      <c r="D83" s="101" t="s">
        <v>83</v>
      </c>
      <c r="E83" s="102" t="s">
        <v>83</v>
      </c>
      <c r="F83" s="103" t="s">
        <v>83</v>
      </c>
    </row>
    <row r="84" spans="1:6" x14ac:dyDescent="0.35">
      <c r="A84" s="431"/>
      <c r="B84" s="96" t="s">
        <v>215</v>
      </c>
      <c r="C84" s="97"/>
      <c r="D84" s="101" t="s">
        <v>83</v>
      </c>
      <c r="E84" s="102" t="s">
        <v>83</v>
      </c>
      <c r="F84" s="103" t="s">
        <v>83</v>
      </c>
    </row>
    <row r="85" spans="1:6" ht="23" x14ac:dyDescent="0.35">
      <c r="A85" s="431"/>
      <c r="B85" s="96" t="s">
        <v>216</v>
      </c>
      <c r="C85" s="97"/>
      <c r="D85" s="101" t="s">
        <v>83</v>
      </c>
      <c r="E85" s="102" t="s">
        <v>83</v>
      </c>
      <c r="F85" s="103" t="s">
        <v>83</v>
      </c>
    </row>
    <row r="86" spans="1:6" x14ac:dyDescent="0.35">
      <c r="A86" s="431"/>
      <c r="B86" s="96" t="s">
        <v>217</v>
      </c>
      <c r="C86" s="97"/>
      <c r="D86" s="101" t="s">
        <v>83</v>
      </c>
      <c r="E86" s="102" t="s">
        <v>83</v>
      </c>
      <c r="F86" s="103" t="s">
        <v>83</v>
      </c>
    </row>
    <row r="87" spans="1:6" x14ac:dyDescent="0.35">
      <c r="A87" s="431"/>
      <c r="B87" s="96" t="s">
        <v>218</v>
      </c>
      <c r="C87" s="97"/>
      <c r="D87" s="101" t="s">
        <v>83</v>
      </c>
      <c r="E87" s="102" t="s">
        <v>83</v>
      </c>
      <c r="F87" s="103" t="s">
        <v>83</v>
      </c>
    </row>
    <row r="88" spans="1:6" x14ac:dyDescent="0.35">
      <c r="A88" s="432"/>
      <c r="B88" s="96" t="s">
        <v>181</v>
      </c>
      <c r="C88" s="97"/>
      <c r="D88" s="107" t="s">
        <v>155</v>
      </c>
      <c r="E88" s="108" t="s">
        <v>155</v>
      </c>
      <c r="F88" s="109" t="s">
        <v>155</v>
      </c>
    </row>
    <row r="89" spans="1:6" x14ac:dyDescent="0.35">
      <c r="A89" s="433" t="s">
        <v>182</v>
      </c>
      <c r="B89" s="96" t="s">
        <v>183</v>
      </c>
      <c r="C89" s="97"/>
      <c r="D89" s="98" t="s">
        <v>144</v>
      </c>
      <c r="E89" s="99" t="s">
        <v>144</v>
      </c>
      <c r="F89" s="100" t="s">
        <v>144</v>
      </c>
    </row>
    <row r="90" spans="1:6" x14ac:dyDescent="0.35">
      <c r="A90" s="434"/>
      <c r="B90" s="96" t="s">
        <v>219</v>
      </c>
      <c r="C90" s="97"/>
      <c r="D90" s="98" t="s">
        <v>144</v>
      </c>
      <c r="E90" s="99" t="s">
        <v>144</v>
      </c>
      <c r="F90" s="100" t="s">
        <v>144</v>
      </c>
    </row>
    <row r="91" spans="1:6" x14ac:dyDescent="0.35">
      <c r="A91" s="434"/>
      <c r="B91" s="96" t="s">
        <v>220</v>
      </c>
      <c r="C91" s="97"/>
      <c r="D91" s="98" t="s">
        <v>144</v>
      </c>
      <c r="E91" s="102" t="s">
        <v>83</v>
      </c>
      <c r="F91" s="100" t="s">
        <v>144</v>
      </c>
    </row>
    <row r="92" spans="1:6" x14ac:dyDescent="0.35">
      <c r="A92" s="434"/>
      <c r="B92" s="96" t="s">
        <v>221</v>
      </c>
      <c r="C92" s="97"/>
      <c r="D92" s="101" t="s">
        <v>83</v>
      </c>
      <c r="E92" s="108" t="s">
        <v>155</v>
      </c>
      <c r="F92" s="103" t="s">
        <v>83</v>
      </c>
    </row>
    <row r="93" spans="1:6" ht="14.5" thickBot="1" x14ac:dyDescent="0.4">
      <c r="A93" s="434"/>
      <c r="B93" s="96" t="s">
        <v>192</v>
      </c>
      <c r="C93" s="111"/>
      <c r="D93" s="112" t="s">
        <v>155</v>
      </c>
      <c r="E93" s="113" t="s">
        <v>155</v>
      </c>
      <c r="F93" s="114" t="s">
        <v>155</v>
      </c>
    </row>
  </sheetData>
  <sheetProtection algorithmName="SHA-512" hashValue="yTRVSc6BHFBs6VkjkRIlHo8m3Xi7KDlt8NzWdf6qoodCDBcdKBQYub1iu8yqe48pSS+9uC7UpzqhQvMY8HME+Q==" saltValue="EnOTDswd0CtIn9ACZYUBRg==" spinCount="100000" sheet="1" objects="1" scenarios="1"/>
  <mergeCells count="13">
    <mergeCell ref="A81:A88"/>
    <mergeCell ref="A89:A93"/>
    <mergeCell ref="D1:F1"/>
    <mergeCell ref="A3:A6"/>
    <mergeCell ref="A22:A30"/>
    <mergeCell ref="A7:A13"/>
    <mergeCell ref="A31:A36"/>
    <mergeCell ref="A38:E38"/>
    <mergeCell ref="A14:A21"/>
    <mergeCell ref="A63:A66"/>
    <mergeCell ref="A67:A73"/>
    <mergeCell ref="A74:A80"/>
    <mergeCell ref="A37:F3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A053-9862-4EFF-BE74-6EA1041FEE6C}">
  <sheetPr>
    <tabColor rgb="FF00B0F0"/>
  </sheetPr>
  <dimension ref="A1:B210"/>
  <sheetViews>
    <sheetView showGridLines="0" topLeftCell="A10" zoomScale="145" zoomScaleNormal="145" zoomScaleSheetLayoutView="115" workbookViewId="0">
      <selection activeCell="A19" sqref="A19:B19"/>
    </sheetView>
  </sheetViews>
  <sheetFormatPr defaultColWidth="8.90625" defaultRowHeight="14.5" x14ac:dyDescent="0.35"/>
  <cols>
    <col min="1" max="1" width="37.36328125" style="201" customWidth="1"/>
    <col min="2" max="2" width="50" style="201" customWidth="1"/>
    <col min="3" max="3" width="1.08984375" style="201" customWidth="1"/>
    <col min="4" max="16384" width="8.90625" style="201"/>
  </cols>
  <sheetData>
    <row r="1" spans="1:2" ht="53" customHeight="1" x14ac:dyDescent="0.35">
      <c r="A1" s="475" t="s">
        <v>222</v>
      </c>
      <c r="B1" s="475"/>
    </row>
    <row r="2" spans="1:2" x14ac:dyDescent="0.35">
      <c r="A2" s="199"/>
    </row>
    <row r="3" spans="1:2" ht="17.5" x14ac:dyDescent="0.35">
      <c r="A3" s="198" t="s">
        <v>223</v>
      </c>
    </row>
    <row r="4" spans="1:2" ht="56" customHeight="1" x14ac:dyDescent="0.35">
      <c r="A4" s="462" t="s">
        <v>587</v>
      </c>
      <c r="B4" s="462"/>
    </row>
    <row r="5" spans="1:2" ht="62.4" customHeight="1" x14ac:dyDescent="0.35">
      <c r="A5" s="462" t="s">
        <v>224</v>
      </c>
      <c r="B5" s="462"/>
    </row>
    <row r="6" spans="1:2" ht="63.65" customHeight="1" x14ac:dyDescent="0.35">
      <c r="A6" s="462" t="s">
        <v>225</v>
      </c>
      <c r="B6" s="462"/>
    </row>
    <row r="7" spans="1:2" ht="42" customHeight="1" x14ac:dyDescent="0.35">
      <c r="A7" s="462" t="s">
        <v>226</v>
      </c>
      <c r="B7" s="462"/>
    </row>
    <row r="8" spans="1:2" ht="33.65" customHeight="1" x14ac:dyDescent="0.35">
      <c r="A8" s="462" t="s">
        <v>227</v>
      </c>
      <c r="B8" s="462"/>
    </row>
    <row r="9" spans="1:2" ht="22.25" customHeight="1" x14ac:dyDescent="0.35">
      <c r="A9" s="199" t="s">
        <v>228</v>
      </c>
      <c r="B9" s="200" t="s">
        <v>229</v>
      </c>
    </row>
    <row r="10" spans="1:2" ht="292.25" customHeight="1" x14ac:dyDescent="0.35">
      <c r="A10" s="476" t="e" vm="2">
        <v>#VALUE!</v>
      </c>
      <c r="B10" s="476"/>
    </row>
    <row r="11" spans="1:2" x14ac:dyDescent="0.35">
      <c r="A11" s="461" t="s">
        <v>230</v>
      </c>
      <c r="B11" s="461"/>
    </row>
    <row r="13" spans="1:2" ht="17.5" x14ac:dyDescent="0.35">
      <c r="A13" s="198" t="s">
        <v>231</v>
      </c>
    </row>
    <row r="14" spans="1:2" ht="54.65" customHeight="1" x14ac:dyDescent="0.35">
      <c r="A14" s="462" t="s">
        <v>596</v>
      </c>
      <c r="B14" s="462"/>
    </row>
    <row r="15" spans="1:2" ht="60" customHeight="1" x14ac:dyDescent="0.35">
      <c r="A15" s="463" t="s">
        <v>588</v>
      </c>
      <c r="B15" s="464"/>
    </row>
    <row r="16" spans="1:2" x14ac:dyDescent="0.35">
      <c r="A16" s="204"/>
      <c r="B16" s="205"/>
    </row>
    <row r="17" spans="1:2" x14ac:dyDescent="0.35">
      <c r="A17" s="206" t="s">
        <v>232</v>
      </c>
      <c r="B17" s="207"/>
    </row>
    <row r="18" spans="1:2" x14ac:dyDescent="0.35">
      <c r="A18" s="463" t="s">
        <v>233</v>
      </c>
      <c r="B18" s="464"/>
    </row>
    <row r="19" spans="1:2" ht="102" customHeight="1" x14ac:dyDescent="0.35">
      <c r="A19" s="465" t="e" vm="3">
        <v>#VALUE!</v>
      </c>
      <c r="B19" s="466"/>
    </row>
    <row r="20" spans="1:2" ht="14.4" customHeight="1" x14ac:dyDescent="0.35">
      <c r="A20" s="467" t="s">
        <v>234</v>
      </c>
      <c r="B20" s="468"/>
    </row>
    <row r="21" spans="1:2" ht="14.4" customHeight="1" x14ac:dyDescent="0.35">
      <c r="A21" s="208"/>
      <c r="B21" s="209"/>
    </row>
    <row r="22" spans="1:2" x14ac:dyDescent="0.35">
      <c r="A22" s="204"/>
      <c r="B22" s="205"/>
    </row>
    <row r="23" spans="1:2" x14ac:dyDescent="0.35">
      <c r="A23" s="206" t="s">
        <v>235</v>
      </c>
      <c r="B23" s="210"/>
    </row>
    <row r="24" spans="1:2" ht="29" customHeight="1" x14ac:dyDescent="0.35">
      <c r="A24" s="469" t="s">
        <v>236</v>
      </c>
      <c r="B24" s="470"/>
    </row>
    <row r="25" spans="1:2" s="203" customFormat="1" ht="21.65" customHeight="1" x14ac:dyDescent="0.35">
      <c r="A25" s="471" t="s">
        <v>237</v>
      </c>
      <c r="B25" s="472"/>
    </row>
    <row r="26" spans="1:2" ht="33" customHeight="1" x14ac:dyDescent="0.35">
      <c r="A26" s="469" t="s">
        <v>597</v>
      </c>
      <c r="B26" s="470"/>
    </row>
    <row r="27" spans="1:2" ht="18" customHeight="1" x14ac:dyDescent="0.35">
      <c r="A27" s="471" t="s">
        <v>238</v>
      </c>
      <c r="B27" s="472"/>
    </row>
    <row r="28" spans="1:2" ht="34.25" customHeight="1" x14ac:dyDescent="0.35">
      <c r="A28" s="463" t="s">
        <v>239</v>
      </c>
      <c r="B28" s="464"/>
    </row>
    <row r="29" spans="1:2" ht="135" customHeight="1" x14ac:dyDescent="0.35">
      <c r="A29" s="473" t="e" vm="4">
        <v>#VALUE!</v>
      </c>
      <c r="B29" s="474"/>
    </row>
    <row r="30" spans="1:2" x14ac:dyDescent="0.35">
      <c r="A30" s="467" t="s">
        <v>240</v>
      </c>
      <c r="B30" s="468"/>
    </row>
    <row r="31" spans="1:2" x14ac:dyDescent="0.35">
      <c r="A31" s="208"/>
      <c r="B31" s="209"/>
    </row>
    <row r="32" spans="1:2" x14ac:dyDescent="0.35">
      <c r="A32" s="211"/>
      <c r="B32" s="212"/>
    </row>
    <row r="33" spans="1:2" x14ac:dyDescent="0.35">
      <c r="A33" s="206" t="s">
        <v>241</v>
      </c>
      <c r="B33" s="210"/>
    </row>
    <row r="34" spans="1:2" x14ac:dyDescent="0.35">
      <c r="A34" s="463" t="s">
        <v>242</v>
      </c>
      <c r="B34" s="464"/>
    </row>
    <row r="35" spans="1:2" ht="86.4" customHeight="1" x14ac:dyDescent="0.35">
      <c r="A35" s="463" t="s">
        <v>589</v>
      </c>
      <c r="B35" s="464"/>
    </row>
    <row r="36" spans="1:2" ht="90" customHeight="1" x14ac:dyDescent="0.35">
      <c r="A36" s="463" t="s">
        <v>243</v>
      </c>
      <c r="B36" s="464"/>
    </row>
    <row r="37" spans="1:2" s="200" customFormat="1" ht="21" customHeight="1" x14ac:dyDescent="0.35">
      <c r="A37" s="477" t="s">
        <v>244</v>
      </c>
      <c r="B37" s="478"/>
    </row>
    <row r="38" spans="1:2" ht="35" customHeight="1" x14ac:dyDescent="0.35">
      <c r="A38" s="469" t="s">
        <v>590</v>
      </c>
      <c r="B38" s="470"/>
    </row>
    <row r="39" spans="1:2" ht="43.5" customHeight="1" x14ac:dyDescent="0.35">
      <c r="A39" s="469" t="s">
        <v>591</v>
      </c>
      <c r="B39" s="470"/>
    </row>
    <row r="40" spans="1:2" ht="88.5" customHeight="1" x14ac:dyDescent="0.35">
      <c r="A40" s="463" t="s">
        <v>598</v>
      </c>
      <c r="B40" s="464"/>
    </row>
    <row r="41" spans="1:2" ht="115.25" customHeight="1" x14ac:dyDescent="0.35">
      <c r="A41" s="473" t="e" vm="5">
        <v>#VALUE!</v>
      </c>
      <c r="B41" s="474"/>
    </row>
    <row r="42" spans="1:2" x14ac:dyDescent="0.35">
      <c r="A42" s="467" t="s">
        <v>245</v>
      </c>
      <c r="B42" s="468"/>
    </row>
    <row r="43" spans="1:2" x14ac:dyDescent="0.35">
      <c r="A43" s="213"/>
      <c r="B43" s="214"/>
    </row>
    <row r="44" spans="1:2" x14ac:dyDescent="0.35">
      <c r="A44" s="211"/>
      <c r="B44" s="212"/>
    </row>
    <row r="45" spans="1:2" x14ac:dyDescent="0.35">
      <c r="A45" s="206" t="s">
        <v>246</v>
      </c>
      <c r="B45" s="210"/>
    </row>
    <row r="46" spans="1:2" ht="14.4" customHeight="1" x14ac:dyDescent="0.35">
      <c r="A46" s="469" t="s">
        <v>247</v>
      </c>
      <c r="B46" s="470"/>
    </row>
    <row r="47" spans="1:2" x14ac:dyDescent="0.35">
      <c r="A47" s="469" t="s">
        <v>248</v>
      </c>
      <c r="B47" s="470"/>
    </row>
    <row r="48" spans="1:2" x14ac:dyDescent="0.35">
      <c r="A48" s="479" t="s">
        <v>249</v>
      </c>
      <c r="B48" s="480"/>
    </row>
    <row r="49" spans="1:2" ht="38.4" customHeight="1" x14ac:dyDescent="0.35">
      <c r="A49" s="479" t="s">
        <v>250</v>
      </c>
      <c r="B49" s="480"/>
    </row>
    <row r="50" spans="1:2" ht="116" customHeight="1" x14ac:dyDescent="0.35">
      <c r="A50" s="473" t="e" vm="6">
        <v>#VALUE!</v>
      </c>
      <c r="B50" s="474"/>
    </row>
    <row r="51" spans="1:2" x14ac:dyDescent="0.35">
      <c r="A51" s="467" t="s">
        <v>251</v>
      </c>
      <c r="B51" s="468"/>
    </row>
    <row r="52" spans="1:2" x14ac:dyDescent="0.35">
      <c r="A52" s="213"/>
      <c r="B52" s="214"/>
    </row>
    <row r="53" spans="1:2" x14ac:dyDescent="0.35">
      <c r="A53" s="211"/>
      <c r="B53" s="212"/>
    </row>
    <row r="54" spans="1:2" x14ac:dyDescent="0.35">
      <c r="A54" s="206" t="s">
        <v>252</v>
      </c>
      <c r="B54" s="210"/>
    </row>
    <row r="55" spans="1:2" ht="39.65" customHeight="1" x14ac:dyDescent="0.35">
      <c r="A55" s="463" t="s">
        <v>253</v>
      </c>
      <c r="B55" s="464"/>
    </row>
    <row r="56" spans="1:2" ht="94.5" customHeight="1" x14ac:dyDescent="0.35">
      <c r="A56" s="463" t="s">
        <v>592</v>
      </c>
      <c r="B56" s="464"/>
    </row>
    <row r="57" spans="1:2" ht="46.25" customHeight="1" x14ac:dyDescent="0.35">
      <c r="A57" s="463" t="s">
        <v>593</v>
      </c>
      <c r="B57" s="464"/>
    </row>
    <row r="58" spans="1:2" ht="115.25" customHeight="1" x14ac:dyDescent="0.35">
      <c r="A58" s="473" t="e" vm="7">
        <v>#VALUE!</v>
      </c>
      <c r="B58" s="474"/>
    </row>
    <row r="59" spans="1:2" x14ac:dyDescent="0.35">
      <c r="A59" s="467" t="s">
        <v>254</v>
      </c>
      <c r="B59" s="468"/>
    </row>
    <row r="60" spans="1:2" x14ac:dyDescent="0.35">
      <c r="A60" s="213"/>
      <c r="B60" s="214"/>
    </row>
    <row r="61" spans="1:2" x14ac:dyDescent="0.35">
      <c r="A61" s="211"/>
      <c r="B61" s="212"/>
    </row>
    <row r="62" spans="1:2" x14ac:dyDescent="0.35">
      <c r="A62" s="206" t="s">
        <v>255</v>
      </c>
      <c r="B62" s="210"/>
    </row>
    <row r="63" spans="1:2" ht="75" customHeight="1" x14ac:dyDescent="0.35">
      <c r="A63" s="463" t="s">
        <v>594</v>
      </c>
      <c r="B63" s="464"/>
    </row>
    <row r="64" spans="1:2" ht="126.65" customHeight="1" x14ac:dyDescent="0.35">
      <c r="A64" s="473" t="e" vm="8">
        <v>#VALUE!</v>
      </c>
      <c r="B64" s="474"/>
    </row>
    <row r="65" spans="1:2" x14ac:dyDescent="0.35">
      <c r="A65" s="467" t="s">
        <v>256</v>
      </c>
      <c r="B65" s="468"/>
    </row>
    <row r="66" spans="1:2" x14ac:dyDescent="0.35">
      <c r="A66" s="213"/>
      <c r="B66" s="214"/>
    </row>
    <row r="67" spans="1:2" x14ac:dyDescent="0.35">
      <c r="A67" s="211"/>
      <c r="B67" s="212"/>
    </row>
    <row r="68" spans="1:2" x14ac:dyDescent="0.35">
      <c r="A68" s="206" t="s">
        <v>257</v>
      </c>
      <c r="B68" s="210"/>
    </row>
    <row r="69" spans="1:2" ht="24" customHeight="1" x14ac:dyDescent="0.35">
      <c r="A69" s="463" t="s">
        <v>258</v>
      </c>
      <c r="B69" s="464"/>
    </row>
    <row r="70" spans="1:2" ht="35" customHeight="1" x14ac:dyDescent="0.35">
      <c r="A70" s="485" t="s">
        <v>259</v>
      </c>
      <c r="B70" s="486"/>
    </row>
    <row r="71" spans="1:2" ht="35" customHeight="1" x14ac:dyDescent="0.35">
      <c r="A71" s="483" t="s">
        <v>260</v>
      </c>
      <c r="B71" s="484"/>
    </row>
    <row r="72" spans="1:2" ht="35" customHeight="1" x14ac:dyDescent="0.35">
      <c r="A72" s="481" t="s">
        <v>261</v>
      </c>
      <c r="B72" s="482"/>
    </row>
    <row r="73" spans="1:2" x14ac:dyDescent="0.35">
      <c r="A73" s="215" t="s">
        <v>262</v>
      </c>
      <c r="B73" s="210"/>
    </row>
    <row r="74" spans="1:2" x14ac:dyDescent="0.35">
      <c r="A74" s="469" t="s">
        <v>263</v>
      </c>
      <c r="B74" s="470"/>
    </row>
    <row r="75" spans="1:2" x14ac:dyDescent="0.35">
      <c r="A75" s="469" t="s">
        <v>264</v>
      </c>
      <c r="B75" s="470"/>
    </row>
    <row r="76" spans="1:2" x14ac:dyDescent="0.35">
      <c r="A76" s="469" t="s">
        <v>265</v>
      </c>
      <c r="B76" s="470"/>
    </row>
    <row r="77" spans="1:2" x14ac:dyDescent="0.35">
      <c r="A77" s="469" t="s">
        <v>266</v>
      </c>
      <c r="B77" s="470"/>
    </row>
    <row r="78" spans="1:2" x14ac:dyDescent="0.35">
      <c r="A78" s="469" t="s">
        <v>267</v>
      </c>
      <c r="B78" s="470"/>
    </row>
    <row r="79" spans="1:2" ht="306" customHeight="1" x14ac:dyDescent="0.35">
      <c r="A79" s="473" t="e" vm="9">
        <v>#VALUE!</v>
      </c>
      <c r="B79" s="474"/>
    </row>
    <row r="80" spans="1:2" x14ac:dyDescent="0.35">
      <c r="A80" s="467" t="s">
        <v>268</v>
      </c>
      <c r="B80" s="468"/>
    </row>
    <row r="81" spans="1:2" x14ac:dyDescent="0.35">
      <c r="A81" s="216"/>
      <c r="B81" s="210"/>
    </row>
    <row r="82" spans="1:2" ht="85.25" customHeight="1" x14ac:dyDescent="0.35">
      <c r="A82" s="463" t="s">
        <v>269</v>
      </c>
      <c r="B82" s="464"/>
    </row>
    <row r="83" spans="1:2" ht="45" customHeight="1" x14ac:dyDescent="0.35">
      <c r="A83" s="463" t="s">
        <v>270</v>
      </c>
      <c r="B83" s="464"/>
    </row>
    <row r="84" spans="1:2" ht="34" customHeight="1" x14ac:dyDescent="0.35">
      <c r="A84" s="487" t="s">
        <v>595</v>
      </c>
      <c r="B84" s="488"/>
    </row>
    <row r="85" spans="1:2" ht="74" customHeight="1" x14ac:dyDescent="0.35">
      <c r="A85" s="473" t="e" vm="10">
        <v>#VALUE!</v>
      </c>
      <c r="B85" s="474"/>
    </row>
    <row r="86" spans="1:2" x14ac:dyDescent="0.35">
      <c r="A86" s="467" t="s">
        <v>271</v>
      </c>
      <c r="B86" s="468"/>
    </row>
    <row r="87" spans="1:2" x14ac:dyDescent="0.35">
      <c r="A87" s="213"/>
      <c r="B87" s="214"/>
    </row>
    <row r="90" spans="1:2" ht="40.25" customHeight="1" x14ac:dyDescent="0.35"/>
    <row r="91" spans="1:2" ht="135" customHeight="1" x14ac:dyDescent="0.35"/>
    <row r="94" spans="1:2" x14ac:dyDescent="0.35">
      <c r="A94" s="202"/>
      <c r="B94" s="202"/>
    </row>
    <row r="95" spans="1:2" x14ac:dyDescent="0.35">
      <c r="A95" s="202"/>
      <c r="B95" s="202"/>
    </row>
    <row r="96" spans="1:2" x14ac:dyDescent="0.35">
      <c r="A96" s="202"/>
      <c r="B96" s="202"/>
    </row>
    <row r="97" spans="1:2" x14ac:dyDescent="0.35">
      <c r="A97" s="202"/>
      <c r="B97" s="202"/>
    </row>
    <row r="98" spans="1:2" x14ac:dyDescent="0.35">
      <c r="A98" s="202"/>
      <c r="B98" s="202"/>
    </row>
    <row r="99" spans="1:2" x14ac:dyDescent="0.35">
      <c r="A99" s="202"/>
      <c r="B99" s="202"/>
    </row>
    <row r="100" spans="1:2" x14ac:dyDescent="0.35">
      <c r="A100" s="202"/>
      <c r="B100" s="202"/>
    </row>
    <row r="101" spans="1:2" x14ac:dyDescent="0.35">
      <c r="A101" s="202"/>
      <c r="B101" s="202"/>
    </row>
    <row r="102" spans="1:2" x14ac:dyDescent="0.35">
      <c r="A102" s="202"/>
      <c r="B102" s="202"/>
    </row>
    <row r="103" spans="1:2" x14ac:dyDescent="0.35">
      <c r="A103" s="202"/>
      <c r="B103" s="202"/>
    </row>
    <row r="104" spans="1:2" x14ac:dyDescent="0.35">
      <c r="A104" s="202"/>
      <c r="B104" s="202"/>
    </row>
    <row r="105" spans="1:2" x14ac:dyDescent="0.35">
      <c r="A105" s="202"/>
      <c r="B105" s="202"/>
    </row>
    <row r="106" spans="1:2" x14ac:dyDescent="0.35">
      <c r="A106" s="202"/>
      <c r="B106" s="202"/>
    </row>
    <row r="107" spans="1:2" x14ac:dyDescent="0.35">
      <c r="A107" s="202"/>
      <c r="B107" s="202"/>
    </row>
    <row r="108" spans="1:2" x14ac:dyDescent="0.35">
      <c r="A108" s="202"/>
      <c r="B108" s="202"/>
    </row>
    <row r="109" spans="1:2" x14ac:dyDescent="0.35">
      <c r="A109" s="202"/>
      <c r="B109" s="202"/>
    </row>
    <row r="110" spans="1:2" x14ac:dyDescent="0.35">
      <c r="A110" s="202"/>
      <c r="B110" s="202"/>
    </row>
    <row r="111" spans="1:2" x14ac:dyDescent="0.35">
      <c r="A111" s="202"/>
      <c r="B111" s="202"/>
    </row>
    <row r="112" spans="1:2" x14ac:dyDescent="0.35">
      <c r="A112" s="202"/>
      <c r="B112" s="202"/>
    </row>
    <row r="113" spans="1:2" x14ac:dyDescent="0.35">
      <c r="A113" s="202"/>
      <c r="B113" s="202"/>
    </row>
    <row r="114" spans="1:2" x14ac:dyDescent="0.35">
      <c r="A114" s="202"/>
      <c r="B114" s="202"/>
    </row>
    <row r="115" spans="1:2" x14ac:dyDescent="0.35">
      <c r="A115" s="202"/>
      <c r="B115" s="202"/>
    </row>
    <row r="116" spans="1:2" x14ac:dyDescent="0.35">
      <c r="A116" s="202"/>
      <c r="B116" s="202"/>
    </row>
    <row r="117" spans="1:2" x14ac:dyDescent="0.35">
      <c r="A117" s="202"/>
      <c r="B117" s="202"/>
    </row>
    <row r="118" spans="1:2" x14ac:dyDescent="0.35">
      <c r="A118" s="202"/>
      <c r="B118" s="202"/>
    </row>
    <row r="119" spans="1:2" x14ac:dyDescent="0.35">
      <c r="A119" s="202"/>
      <c r="B119" s="202"/>
    </row>
    <row r="120" spans="1:2" x14ac:dyDescent="0.35">
      <c r="A120" s="202"/>
      <c r="B120" s="202"/>
    </row>
    <row r="121" spans="1:2" x14ac:dyDescent="0.35">
      <c r="A121" s="202"/>
      <c r="B121" s="202"/>
    </row>
    <row r="122" spans="1:2" x14ac:dyDescent="0.35">
      <c r="A122" s="202"/>
      <c r="B122" s="202"/>
    </row>
    <row r="123" spans="1:2" x14ac:dyDescent="0.35">
      <c r="A123" s="202"/>
      <c r="B123" s="202"/>
    </row>
    <row r="124" spans="1:2" x14ac:dyDescent="0.35">
      <c r="A124" s="202"/>
      <c r="B124" s="202"/>
    </row>
    <row r="125" spans="1:2" x14ac:dyDescent="0.35">
      <c r="A125" s="202"/>
      <c r="B125" s="202"/>
    </row>
    <row r="126" spans="1:2" x14ac:dyDescent="0.35">
      <c r="A126" s="202"/>
      <c r="B126" s="202"/>
    </row>
    <row r="127" spans="1:2" x14ac:dyDescent="0.35">
      <c r="A127" s="202"/>
      <c r="B127" s="202"/>
    </row>
    <row r="128" spans="1:2" x14ac:dyDescent="0.35">
      <c r="A128" s="202"/>
      <c r="B128" s="202"/>
    </row>
    <row r="129" spans="1:2" x14ac:dyDescent="0.35">
      <c r="A129" s="202"/>
      <c r="B129" s="202"/>
    </row>
    <row r="130" spans="1:2" x14ac:dyDescent="0.35">
      <c r="A130" s="202"/>
      <c r="B130" s="202"/>
    </row>
    <row r="131" spans="1:2" x14ac:dyDescent="0.35">
      <c r="A131" s="202"/>
      <c r="B131" s="202"/>
    </row>
    <row r="132" spans="1:2" x14ac:dyDescent="0.35">
      <c r="A132" s="202"/>
      <c r="B132" s="202"/>
    </row>
    <row r="133" spans="1:2" x14ac:dyDescent="0.35">
      <c r="A133" s="202"/>
      <c r="B133" s="202"/>
    </row>
    <row r="134" spans="1:2" x14ac:dyDescent="0.35">
      <c r="A134" s="202"/>
      <c r="B134" s="202"/>
    </row>
    <row r="135" spans="1:2" x14ac:dyDescent="0.35">
      <c r="A135" s="202"/>
      <c r="B135" s="202"/>
    </row>
    <row r="136" spans="1:2" x14ac:dyDescent="0.35">
      <c r="A136" s="202"/>
      <c r="B136" s="202"/>
    </row>
    <row r="137" spans="1:2" x14ac:dyDescent="0.35">
      <c r="A137" s="202"/>
      <c r="B137" s="202"/>
    </row>
    <row r="138" spans="1:2" x14ac:dyDescent="0.35">
      <c r="A138" s="202"/>
      <c r="B138" s="202"/>
    </row>
    <row r="139" spans="1:2" x14ac:dyDescent="0.35">
      <c r="A139" s="202"/>
      <c r="B139" s="202"/>
    </row>
    <row r="140" spans="1:2" x14ac:dyDescent="0.35">
      <c r="A140" s="202"/>
      <c r="B140" s="202"/>
    </row>
    <row r="141" spans="1:2" x14ac:dyDescent="0.35">
      <c r="A141" s="202"/>
      <c r="B141" s="202"/>
    </row>
    <row r="142" spans="1:2" x14ac:dyDescent="0.35">
      <c r="A142" s="202"/>
      <c r="B142" s="202"/>
    </row>
    <row r="143" spans="1:2" x14ac:dyDescent="0.35">
      <c r="A143" s="202"/>
      <c r="B143" s="202"/>
    </row>
    <row r="144" spans="1:2" x14ac:dyDescent="0.35">
      <c r="A144" s="202"/>
      <c r="B144" s="202"/>
    </row>
    <row r="145" spans="1:2" x14ac:dyDescent="0.35">
      <c r="A145" s="202"/>
      <c r="B145" s="202"/>
    </row>
    <row r="146" spans="1:2" x14ac:dyDescent="0.35">
      <c r="A146" s="202"/>
      <c r="B146" s="202"/>
    </row>
    <row r="147" spans="1:2" x14ac:dyDescent="0.35">
      <c r="A147" s="202"/>
      <c r="B147" s="202"/>
    </row>
    <row r="148" spans="1:2" x14ac:dyDescent="0.35">
      <c r="A148" s="202"/>
      <c r="B148" s="202"/>
    </row>
    <row r="149" spans="1:2" x14ac:dyDescent="0.35">
      <c r="A149" s="202"/>
      <c r="B149" s="202"/>
    </row>
    <row r="150" spans="1:2" x14ac:dyDescent="0.35">
      <c r="A150" s="202"/>
      <c r="B150" s="202"/>
    </row>
    <row r="151" spans="1:2" x14ac:dyDescent="0.35">
      <c r="A151" s="202"/>
      <c r="B151" s="202"/>
    </row>
    <row r="152" spans="1:2" x14ac:dyDescent="0.35">
      <c r="A152" s="202"/>
      <c r="B152" s="202"/>
    </row>
    <row r="153" spans="1:2" x14ac:dyDescent="0.35">
      <c r="A153" s="202"/>
      <c r="B153" s="202"/>
    </row>
    <row r="154" spans="1:2" x14ac:dyDescent="0.35">
      <c r="A154" s="202"/>
      <c r="B154" s="202"/>
    </row>
    <row r="155" spans="1:2" x14ac:dyDescent="0.35">
      <c r="A155" s="202"/>
      <c r="B155" s="202"/>
    </row>
    <row r="156" spans="1:2" x14ac:dyDescent="0.35">
      <c r="A156" s="202"/>
      <c r="B156" s="202"/>
    </row>
    <row r="157" spans="1:2" x14ac:dyDescent="0.35">
      <c r="A157" s="202"/>
      <c r="B157" s="202"/>
    </row>
    <row r="158" spans="1:2" x14ac:dyDescent="0.35">
      <c r="A158" s="202"/>
      <c r="B158" s="202"/>
    </row>
    <row r="159" spans="1:2" x14ac:dyDescent="0.35">
      <c r="A159" s="202"/>
      <c r="B159" s="202"/>
    </row>
    <row r="160" spans="1:2" x14ac:dyDescent="0.35">
      <c r="A160" s="202"/>
      <c r="B160" s="202"/>
    </row>
    <row r="161" spans="1:2" x14ac:dyDescent="0.35">
      <c r="A161" s="202"/>
      <c r="B161" s="202"/>
    </row>
    <row r="162" spans="1:2" x14ac:dyDescent="0.35">
      <c r="A162" s="202"/>
      <c r="B162" s="202"/>
    </row>
    <row r="163" spans="1:2" x14ac:dyDescent="0.35">
      <c r="A163" s="202"/>
      <c r="B163" s="202"/>
    </row>
    <row r="164" spans="1:2" x14ac:dyDescent="0.35">
      <c r="A164" s="202"/>
      <c r="B164" s="202"/>
    </row>
    <row r="165" spans="1:2" x14ac:dyDescent="0.35">
      <c r="A165" s="202"/>
      <c r="B165" s="202"/>
    </row>
    <row r="166" spans="1:2" x14ac:dyDescent="0.35">
      <c r="A166" s="202"/>
      <c r="B166" s="202"/>
    </row>
    <row r="167" spans="1:2" x14ac:dyDescent="0.35">
      <c r="A167" s="202"/>
      <c r="B167" s="202"/>
    </row>
    <row r="168" spans="1:2" x14ac:dyDescent="0.35">
      <c r="A168" s="202"/>
      <c r="B168" s="202"/>
    </row>
    <row r="169" spans="1:2" x14ac:dyDescent="0.35">
      <c r="A169" s="202"/>
      <c r="B169" s="202"/>
    </row>
    <row r="170" spans="1:2" x14ac:dyDescent="0.35">
      <c r="A170" s="202"/>
      <c r="B170" s="202"/>
    </row>
    <row r="171" spans="1:2" x14ac:dyDescent="0.35">
      <c r="A171" s="202"/>
      <c r="B171" s="202"/>
    </row>
    <row r="172" spans="1:2" x14ac:dyDescent="0.35">
      <c r="A172" s="202"/>
      <c r="B172" s="202"/>
    </row>
    <row r="173" spans="1:2" x14ac:dyDescent="0.35">
      <c r="A173" s="202"/>
      <c r="B173" s="202"/>
    </row>
    <row r="174" spans="1:2" x14ac:dyDescent="0.35">
      <c r="A174" s="202"/>
      <c r="B174" s="202"/>
    </row>
    <row r="175" spans="1:2" x14ac:dyDescent="0.35">
      <c r="A175" s="202"/>
      <c r="B175" s="202"/>
    </row>
    <row r="176" spans="1:2" x14ac:dyDescent="0.35">
      <c r="A176" s="202"/>
      <c r="B176" s="202"/>
    </row>
    <row r="177" spans="1:2" x14ac:dyDescent="0.35">
      <c r="A177" s="202"/>
      <c r="B177" s="202"/>
    </row>
    <row r="178" spans="1:2" x14ac:dyDescent="0.35">
      <c r="A178" s="202"/>
      <c r="B178" s="202"/>
    </row>
    <row r="179" spans="1:2" x14ac:dyDescent="0.35">
      <c r="A179" s="202"/>
      <c r="B179" s="202"/>
    </row>
    <row r="180" spans="1:2" x14ac:dyDescent="0.35">
      <c r="A180" s="202"/>
      <c r="B180" s="202"/>
    </row>
    <row r="181" spans="1:2" x14ac:dyDescent="0.35">
      <c r="A181" s="202"/>
      <c r="B181" s="202"/>
    </row>
    <row r="182" spans="1:2" x14ac:dyDescent="0.35">
      <c r="A182" s="202"/>
      <c r="B182" s="202"/>
    </row>
    <row r="183" spans="1:2" x14ac:dyDescent="0.35">
      <c r="A183" s="202"/>
      <c r="B183" s="202"/>
    </row>
    <row r="184" spans="1:2" x14ac:dyDescent="0.35">
      <c r="A184" s="202"/>
      <c r="B184" s="202"/>
    </row>
    <row r="185" spans="1:2" x14ac:dyDescent="0.35">
      <c r="A185" s="202"/>
      <c r="B185" s="202"/>
    </row>
    <row r="186" spans="1:2" x14ac:dyDescent="0.35">
      <c r="A186" s="202"/>
      <c r="B186" s="202"/>
    </row>
    <row r="187" spans="1:2" x14ac:dyDescent="0.35">
      <c r="A187" s="202"/>
      <c r="B187" s="202"/>
    </row>
    <row r="188" spans="1:2" x14ac:dyDescent="0.35">
      <c r="A188" s="202"/>
      <c r="B188" s="202"/>
    </row>
    <row r="189" spans="1:2" x14ac:dyDescent="0.35">
      <c r="A189" s="202"/>
      <c r="B189" s="202"/>
    </row>
    <row r="190" spans="1:2" x14ac:dyDescent="0.35">
      <c r="A190" s="202"/>
      <c r="B190" s="202"/>
    </row>
    <row r="191" spans="1:2" x14ac:dyDescent="0.35">
      <c r="A191" s="202"/>
      <c r="B191" s="202"/>
    </row>
    <row r="192" spans="1:2" x14ac:dyDescent="0.35">
      <c r="A192" s="202"/>
      <c r="B192" s="202"/>
    </row>
    <row r="193" spans="1:2" x14ac:dyDescent="0.35">
      <c r="A193" s="202"/>
      <c r="B193" s="202"/>
    </row>
    <row r="194" spans="1:2" x14ac:dyDescent="0.35">
      <c r="A194" s="202"/>
      <c r="B194" s="202"/>
    </row>
    <row r="195" spans="1:2" x14ac:dyDescent="0.35">
      <c r="A195" s="202"/>
      <c r="B195" s="202"/>
    </row>
    <row r="196" spans="1:2" x14ac:dyDescent="0.35">
      <c r="A196" s="202"/>
      <c r="B196" s="202"/>
    </row>
    <row r="197" spans="1:2" x14ac:dyDescent="0.35">
      <c r="A197" s="202"/>
      <c r="B197" s="202"/>
    </row>
    <row r="198" spans="1:2" x14ac:dyDescent="0.35">
      <c r="A198" s="202"/>
      <c r="B198" s="202"/>
    </row>
    <row r="199" spans="1:2" x14ac:dyDescent="0.35">
      <c r="A199" s="202"/>
      <c r="B199" s="202"/>
    </row>
    <row r="200" spans="1:2" x14ac:dyDescent="0.35">
      <c r="A200" s="202"/>
      <c r="B200" s="202"/>
    </row>
    <row r="201" spans="1:2" x14ac:dyDescent="0.35">
      <c r="A201" s="202"/>
      <c r="B201" s="202"/>
    </row>
    <row r="202" spans="1:2" x14ac:dyDescent="0.35">
      <c r="A202" s="202"/>
      <c r="B202" s="202"/>
    </row>
    <row r="203" spans="1:2" x14ac:dyDescent="0.35">
      <c r="A203" s="202"/>
      <c r="B203" s="202"/>
    </row>
    <row r="204" spans="1:2" x14ac:dyDescent="0.35">
      <c r="A204" s="202"/>
      <c r="B204" s="202"/>
    </row>
    <row r="205" spans="1:2" x14ac:dyDescent="0.35">
      <c r="A205" s="202"/>
      <c r="B205" s="202"/>
    </row>
    <row r="206" spans="1:2" x14ac:dyDescent="0.35">
      <c r="A206" s="202"/>
      <c r="B206" s="202"/>
    </row>
    <row r="207" spans="1:2" x14ac:dyDescent="0.35">
      <c r="A207" s="202"/>
      <c r="B207" s="202"/>
    </row>
    <row r="208" spans="1:2" x14ac:dyDescent="0.35">
      <c r="A208" s="202"/>
      <c r="B208" s="202"/>
    </row>
    <row r="209" spans="1:2" x14ac:dyDescent="0.35">
      <c r="A209" s="202"/>
      <c r="B209" s="202"/>
    </row>
    <row r="210" spans="1:2" x14ac:dyDescent="0.35">
      <c r="A210" s="202"/>
      <c r="B210" s="202"/>
    </row>
  </sheetData>
  <mergeCells count="59">
    <mergeCell ref="A85:B85"/>
    <mergeCell ref="A86:B86"/>
    <mergeCell ref="A63:B63"/>
    <mergeCell ref="A64:B64"/>
    <mergeCell ref="A65:B65"/>
    <mergeCell ref="A82:B82"/>
    <mergeCell ref="A79:B79"/>
    <mergeCell ref="A80:B80"/>
    <mergeCell ref="A83:B83"/>
    <mergeCell ref="A84:B84"/>
    <mergeCell ref="A56:B56"/>
    <mergeCell ref="A55:B55"/>
    <mergeCell ref="A78:B78"/>
    <mergeCell ref="A77:B77"/>
    <mergeCell ref="A76:B76"/>
    <mergeCell ref="A75:B75"/>
    <mergeCell ref="A74:B74"/>
    <mergeCell ref="A72:B72"/>
    <mergeCell ref="A71:B71"/>
    <mergeCell ref="A70:B70"/>
    <mergeCell ref="A69:B69"/>
    <mergeCell ref="A58:B58"/>
    <mergeCell ref="A59:B59"/>
    <mergeCell ref="A57:B57"/>
    <mergeCell ref="A51:B51"/>
    <mergeCell ref="A35:B35"/>
    <mergeCell ref="A38:B38"/>
    <mergeCell ref="A39:B39"/>
    <mergeCell ref="A41:B41"/>
    <mergeCell ref="A37:B37"/>
    <mergeCell ref="A42:B42"/>
    <mergeCell ref="A46:B46"/>
    <mergeCell ref="A47:B47"/>
    <mergeCell ref="A48:B48"/>
    <mergeCell ref="A49:B49"/>
    <mergeCell ref="A50:B50"/>
    <mergeCell ref="A36:B36"/>
    <mergeCell ref="A40:B40"/>
    <mergeCell ref="A4:B4"/>
    <mergeCell ref="A1:B1"/>
    <mergeCell ref="A10:B10"/>
    <mergeCell ref="A5:B5"/>
    <mergeCell ref="A7:B7"/>
    <mergeCell ref="A11:B11"/>
    <mergeCell ref="A8:B8"/>
    <mergeCell ref="A6:B6"/>
    <mergeCell ref="A34:B34"/>
    <mergeCell ref="A14:B14"/>
    <mergeCell ref="A18:B18"/>
    <mergeCell ref="A19:B19"/>
    <mergeCell ref="A20:B20"/>
    <mergeCell ref="A26:B26"/>
    <mergeCell ref="A24:B24"/>
    <mergeCell ref="A28:B28"/>
    <mergeCell ref="A25:B25"/>
    <mergeCell ref="A27:B27"/>
    <mergeCell ref="A29:B29"/>
    <mergeCell ref="A30:B30"/>
    <mergeCell ref="A15:B15"/>
  </mergeCells>
  <hyperlinks>
    <hyperlink ref="B9" r:id="rId1" display="https://at.govt.nz/about-us/transport-plans-strategies/auckland-network-operating-plan" xr:uid="{53EB5C75-1F7E-48C0-A301-DCA774B15FB3}"/>
    <hyperlink ref="A25" r:id="rId2" display="https://mahere.at.govt.nz/futureconnect/" xr:uid="{E83A1B38-1E9D-46B7-B4C2-14500D21C131}"/>
    <hyperlink ref="A27" r:id="rId3" display="https://unitaryplanmaps.aucklandcouncil.govt.nz/upviewer/" xr:uid="{8DD1D168-CC3D-4D74-97FD-20BFEE422EDF}"/>
    <hyperlink ref="A37" r:id="rId4" display="https://at.govt.nz/about-us/transport-plans-strategies/auckland-network-operating-plan" xr:uid="{C70DF4F3-CACD-4BCF-948C-60174E77764D}"/>
  </hyperlinks>
  <pageMargins left="0.7" right="0.7" top="0.75" bottom="0.75" header="0.3" footer="0.3"/>
  <pageSetup paperSize="9" scale="98" orientation="portrait" r:id="rId5"/>
  <rowBreaks count="3" manualBreakCount="3">
    <brk id="12" max="16383" man="1"/>
    <brk id="31" max="16383" man="1"/>
    <brk id="52" max="16383" man="1"/>
  </rowBreaks>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8AF7-9CC1-46B8-B5E7-399C9F6914C4}">
  <sheetPr codeName="Sheet4">
    <tabColor theme="0" tint="-0.249977111117893"/>
  </sheetPr>
  <dimension ref="A1:AH37"/>
  <sheetViews>
    <sheetView workbookViewId="0">
      <selection activeCell="H16" sqref="H16"/>
    </sheetView>
  </sheetViews>
  <sheetFormatPr defaultColWidth="9.08984375" defaultRowHeight="14.5" x14ac:dyDescent="0.35"/>
  <cols>
    <col min="1" max="1" width="27.08984375" style="4" customWidth="1"/>
    <col min="2" max="2" width="18.90625" style="4" customWidth="1"/>
    <col min="3" max="3" width="19" style="4" customWidth="1"/>
    <col min="4" max="4" width="7.08984375" style="11" customWidth="1"/>
    <col min="5" max="5" width="14.453125" style="11" customWidth="1"/>
    <col min="6" max="6" width="15.36328125" style="11" customWidth="1"/>
    <col min="7" max="7" width="27.08984375" style="4" customWidth="1"/>
    <col min="8" max="8" width="22.36328125" style="4" customWidth="1"/>
    <col min="9" max="9" width="14.6328125" style="4" customWidth="1"/>
    <col min="10" max="10" width="4" style="11" bestFit="1" customWidth="1"/>
    <col min="11" max="11" width="8" style="11" customWidth="1"/>
    <col min="12" max="12" width="4.6328125" style="11" customWidth="1"/>
    <col min="13" max="13" width="27.08984375" style="4" customWidth="1"/>
    <col min="14" max="14" width="20" style="4" customWidth="1"/>
    <col min="15" max="15" width="11.453125" style="4" customWidth="1"/>
    <col min="16" max="16" width="11.08984375" style="11" customWidth="1"/>
    <col min="17" max="17" width="9.453125" style="11" customWidth="1"/>
    <col min="18" max="18" width="6.08984375" style="11" customWidth="1"/>
    <col min="19" max="19" width="27.08984375" style="4" customWidth="1"/>
    <col min="20" max="20" width="17.6328125" style="4" customWidth="1"/>
    <col min="21" max="21" width="10" style="4" customWidth="1"/>
    <col min="22" max="22" width="4" style="11" bestFit="1" customWidth="1"/>
    <col min="23" max="23" width="7.453125" style="11" customWidth="1"/>
    <col min="24" max="24" width="5.36328125" style="11" customWidth="1"/>
    <col min="25" max="25" width="27.08984375" style="4" customWidth="1"/>
    <col min="26" max="26" width="16.08984375" style="4" customWidth="1"/>
    <col min="27" max="28" width="9.54296875" style="4" customWidth="1"/>
    <col min="29" max="29" width="4" style="4" bestFit="1" customWidth="1"/>
    <col min="30" max="30" width="27.08984375" style="4" customWidth="1"/>
    <col min="31" max="32" width="10" style="4" customWidth="1"/>
    <col min="33" max="33" width="4" style="11" bestFit="1" customWidth="1"/>
    <col min="34" max="34" width="5.6328125" style="11" customWidth="1"/>
    <col min="35" max="35" width="22.453125" style="4" customWidth="1"/>
    <col min="36" max="36" width="4.6328125" style="4" customWidth="1"/>
    <col min="37" max="37" width="22.453125" style="4" customWidth="1"/>
    <col min="38" max="38" width="3.54296875" style="4" customWidth="1"/>
    <col min="39" max="39" width="24.36328125" style="4" customWidth="1"/>
    <col min="40" max="40" width="16.36328125" style="4" customWidth="1"/>
    <col min="41" max="41" width="22.36328125" style="4" customWidth="1"/>
    <col min="42" max="42" width="5" style="4" customWidth="1"/>
    <col min="43" max="16384" width="9.08984375" style="4"/>
  </cols>
  <sheetData>
    <row r="1" spans="1:34" ht="21" x14ac:dyDescent="0.35">
      <c r="A1" s="1" t="s">
        <v>272</v>
      </c>
      <c r="B1" s="2"/>
      <c r="C1" s="2"/>
      <c r="D1" s="3"/>
      <c r="E1" s="3"/>
      <c r="F1" s="3"/>
      <c r="G1" s="2"/>
      <c r="H1" s="2"/>
      <c r="I1" s="2"/>
      <c r="J1" s="3"/>
      <c r="K1" s="3"/>
      <c r="L1" s="3"/>
      <c r="M1" s="2"/>
      <c r="N1" s="2"/>
      <c r="O1" s="2"/>
      <c r="P1" s="3"/>
      <c r="Q1" s="3"/>
      <c r="R1" s="3"/>
      <c r="S1" s="2"/>
      <c r="T1" s="2"/>
      <c r="U1" s="2"/>
      <c r="V1" s="3"/>
      <c r="W1" s="3"/>
      <c r="X1" s="3"/>
    </row>
    <row r="2" spans="1:34" x14ac:dyDescent="0.35">
      <c r="A2" s="490" t="s">
        <v>56</v>
      </c>
      <c r="B2" s="491"/>
      <c r="C2" s="491"/>
      <c r="D2" s="491"/>
      <c r="E2" s="491"/>
      <c r="F2" s="491"/>
      <c r="G2" s="490" t="s">
        <v>59</v>
      </c>
      <c r="H2" s="491"/>
      <c r="I2" s="491"/>
      <c r="J2" s="491"/>
      <c r="K2" s="491"/>
      <c r="L2" s="492"/>
      <c r="M2" s="493" t="s">
        <v>21</v>
      </c>
      <c r="N2" s="494"/>
      <c r="O2" s="494"/>
      <c r="P2" s="494"/>
      <c r="Q2" s="494"/>
      <c r="R2" s="495"/>
      <c r="S2" s="494" t="s">
        <v>64</v>
      </c>
      <c r="T2" s="494"/>
      <c r="U2" s="494"/>
      <c r="V2" s="494"/>
      <c r="W2" s="494"/>
      <c r="X2" s="495"/>
      <c r="Y2" s="499" t="s">
        <v>53</v>
      </c>
      <c r="Z2" s="500"/>
      <c r="AA2" s="500"/>
      <c r="AB2" s="500"/>
      <c r="AC2" s="501"/>
      <c r="AD2" s="499" t="s">
        <v>68</v>
      </c>
      <c r="AE2" s="500"/>
      <c r="AF2" s="500"/>
      <c r="AG2" s="500"/>
      <c r="AH2" s="501"/>
    </row>
    <row r="3" spans="1:34" s="8" customFormat="1" ht="58" x14ac:dyDescent="0.35">
      <c r="A3" s="5" t="s">
        <v>273</v>
      </c>
      <c r="B3" s="496" t="s">
        <v>274</v>
      </c>
      <c r="C3" s="496"/>
      <c r="D3" s="6" t="s">
        <v>275</v>
      </c>
      <c r="E3" s="6" t="s">
        <v>276</v>
      </c>
      <c r="F3" s="6" t="s">
        <v>277</v>
      </c>
      <c r="G3" s="5" t="s">
        <v>273</v>
      </c>
      <c r="H3" s="496" t="s">
        <v>274</v>
      </c>
      <c r="I3" s="496"/>
      <c r="J3" s="6" t="s">
        <v>275</v>
      </c>
      <c r="K3" s="6" t="s">
        <v>276</v>
      </c>
      <c r="L3" s="7" t="s">
        <v>277</v>
      </c>
      <c r="M3" s="5" t="s">
        <v>273</v>
      </c>
      <c r="N3" s="496" t="s">
        <v>274</v>
      </c>
      <c r="O3" s="496"/>
      <c r="P3" s="6" t="s">
        <v>275</v>
      </c>
      <c r="Q3" s="6" t="s">
        <v>276</v>
      </c>
      <c r="R3" s="7" t="s">
        <v>277</v>
      </c>
      <c r="S3" s="6" t="s">
        <v>273</v>
      </c>
      <c r="T3" s="496" t="s">
        <v>274</v>
      </c>
      <c r="U3" s="496"/>
      <c r="V3" s="6" t="s">
        <v>275</v>
      </c>
      <c r="W3" s="6" t="s">
        <v>276</v>
      </c>
      <c r="X3" s="7" t="s">
        <v>277</v>
      </c>
      <c r="Y3" s="5" t="s">
        <v>273</v>
      </c>
      <c r="Z3" s="496" t="s">
        <v>274</v>
      </c>
      <c r="AA3" s="496"/>
      <c r="AB3" s="6" t="s">
        <v>276</v>
      </c>
      <c r="AC3" s="7" t="s">
        <v>275</v>
      </c>
      <c r="AD3" s="5" t="s">
        <v>273</v>
      </c>
      <c r="AE3" s="6" t="s">
        <v>278</v>
      </c>
      <c r="AF3" s="6" t="s">
        <v>279</v>
      </c>
      <c r="AG3" s="6" t="s">
        <v>275</v>
      </c>
      <c r="AH3" s="7" t="s">
        <v>277</v>
      </c>
    </row>
    <row r="4" spans="1:34" x14ac:dyDescent="0.35">
      <c r="A4" s="9" t="s">
        <v>55</v>
      </c>
      <c r="B4" s="10" t="s">
        <v>280</v>
      </c>
      <c r="C4" s="10">
        <v>350</v>
      </c>
      <c r="D4" s="11">
        <v>2</v>
      </c>
      <c r="E4" s="11" t="str">
        <f>'Preferred LOS'!F7</f>
        <v>B</v>
      </c>
      <c r="F4" s="11">
        <v>1</v>
      </c>
      <c r="G4" s="9" t="s">
        <v>158</v>
      </c>
      <c r="H4" s="10" t="s">
        <v>281</v>
      </c>
      <c r="I4" s="10">
        <v>100</v>
      </c>
      <c r="J4" s="12">
        <v>2</v>
      </c>
      <c r="K4" s="11" t="str">
        <f>_xlfn.XLOOKUP(G4,'Preferred LOS'!$C$14:$C$20,'Preferred LOS'!$F$14:$F$20)</f>
        <v>B</v>
      </c>
      <c r="L4" s="13">
        <v>1</v>
      </c>
      <c r="M4" s="9" t="s">
        <v>167</v>
      </c>
      <c r="N4" s="10" t="s">
        <v>282</v>
      </c>
      <c r="O4" s="10">
        <v>150</v>
      </c>
      <c r="P4" s="11">
        <v>2</v>
      </c>
      <c r="Q4" s="11" t="str">
        <f>_xlfn.XLOOKUP(M4,'Preferred LOS'!$C$22:$C$30,'Preferred LOS'!$F$22:$F$30)</f>
        <v>C</v>
      </c>
      <c r="R4" s="13">
        <v>1</v>
      </c>
      <c r="S4" s="4" t="s">
        <v>184</v>
      </c>
      <c r="T4" s="10" t="s">
        <v>283</v>
      </c>
      <c r="U4" s="10">
        <f>3*2000</f>
        <v>6000</v>
      </c>
      <c r="V4" s="12">
        <v>2</v>
      </c>
      <c r="W4" s="11" t="str">
        <f>_xlfn.XLOOKUP(S4,'Preferred LOS'!$C$31:$C$36,'Preferred LOS'!$F$31:$F$36)</f>
        <v>C</v>
      </c>
      <c r="X4" s="13">
        <v>1</v>
      </c>
      <c r="Y4" s="9" t="s">
        <v>52</v>
      </c>
      <c r="Z4" s="10" t="s">
        <v>284</v>
      </c>
      <c r="AA4" s="10">
        <v>300</v>
      </c>
      <c r="AB4" s="11" t="str">
        <f>_xlfn.XLOOKUP('Data validation'!Y4,'Preferred LOS'!$C$3:$C$6,'Preferred LOS'!$F$3:$F$6)</f>
        <v>B</v>
      </c>
      <c r="AC4" s="13">
        <v>2</v>
      </c>
      <c r="AD4" s="56" t="s">
        <v>285</v>
      </c>
      <c r="AE4" s="11"/>
      <c r="AF4" s="10">
        <v>-2</v>
      </c>
      <c r="AG4" s="11">
        <v>1.5</v>
      </c>
      <c r="AH4" s="13">
        <v>1</v>
      </c>
    </row>
    <row r="5" spans="1:34" x14ac:dyDescent="0.35">
      <c r="A5" s="9" t="s">
        <v>149</v>
      </c>
      <c r="B5" s="10" t="s">
        <v>286</v>
      </c>
      <c r="C5" s="10">
        <v>200</v>
      </c>
      <c r="D5" s="11">
        <v>2</v>
      </c>
      <c r="E5" s="11" t="str">
        <f>'Preferred LOS'!F8</f>
        <v>B</v>
      </c>
      <c r="F5" s="11">
        <v>1</v>
      </c>
      <c r="G5" s="4" t="s">
        <v>601</v>
      </c>
      <c r="H5" s="537" t="s">
        <v>602</v>
      </c>
      <c r="I5" s="537">
        <f>(I4+I6)/2</f>
        <v>65</v>
      </c>
      <c r="J5" s="12">
        <v>2</v>
      </c>
      <c r="K5" s="11" t="str">
        <f>_xlfn.XLOOKUP(G5,'Preferred LOS'!$C$14:$C$21,'Preferred LOS'!$F$14:$F$21)</f>
        <v>C</v>
      </c>
      <c r="L5" s="13">
        <v>1</v>
      </c>
      <c r="M5" s="9" t="s">
        <v>169</v>
      </c>
      <c r="N5" s="10" t="s">
        <v>288</v>
      </c>
      <c r="O5" s="10">
        <v>75</v>
      </c>
      <c r="P5" s="11">
        <v>2</v>
      </c>
      <c r="Q5" s="11" t="str">
        <f>_xlfn.XLOOKUP(M5,'Preferred LOS'!$C$22:$C$30,'Preferred LOS'!$F$22:$F$30)</f>
        <v>C</v>
      </c>
      <c r="R5" s="13">
        <v>1</v>
      </c>
      <c r="S5" s="4" t="s">
        <v>186</v>
      </c>
      <c r="T5" s="10" t="s">
        <v>289</v>
      </c>
      <c r="U5" s="10">
        <v>3000</v>
      </c>
      <c r="V5" s="12">
        <v>2</v>
      </c>
      <c r="W5" s="11" t="str">
        <f>_xlfn.XLOOKUP(S5,'Preferred LOS'!$C$31:$C$36,'Preferred LOS'!$F$31:$F$36)</f>
        <v>C</v>
      </c>
      <c r="X5" s="13">
        <v>1</v>
      </c>
      <c r="Y5" s="9" t="s">
        <v>143</v>
      </c>
      <c r="Z5" s="10" t="s">
        <v>282</v>
      </c>
      <c r="AA5" s="10">
        <v>150</v>
      </c>
      <c r="AB5" s="11" t="str">
        <f>_xlfn.XLOOKUP('Data validation'!Y5,'Preferred LOS'!$C$3:$C$6,'Preferred LOS'!$F$3:$F$6)</f>
        <v>C</v>
      </c>
      <c r="AC5" s="13">
        <v>1</v>
      </c>
      <c r="AD5" s="56" t="s">
        <v>66</v>
      </c>
      <c r="AE5" s="11"/>
      <c r="AF5" s="10">
        <v>-1</v>
      </c>
      <c r="AG5" s="11">
        <v>1</v>
      </c>
      <c r="AH5" s="13">
        <v>0</v>
      </c>
    </row>
    <row r="6" spans="1:34" x14ac:dyDescent="0.35">
      <c r="A6" s="9" t="s">
        <v>151</v>
      </c>
      <c r="B6" s="10" t="s">
        <v>288</v>
      </c>
      <c r="C6" s="10">
        <v>75</v>
      </c>
      <c r="D6" s="11">
        <v>1</v>
      </c>
      <c r="E6" s="11" t="str">
        <f>'Preferred LOS'!F9</f>
        <v>D</v>
      </c>
      <c r="F6" s="11">
        <v>1</v>
      </c>
      <c r="G6" s="9" t="s">
        <v>58</v>
      </c>
      <c r="H6" s="10" t="s">
        <v>287</v>
      </c>
      <c r="I6" s="10">
        <v>30</v>
      </c>
      <c r="J6" s="12">
        <v>2</v>
      </c>
      <c r="K6" s="11" t="str">
        <f>_xlfn.XLOOKUP(G6,'Preferred LOS'!$C$14:$C$20,'Preferred LOS'!$F$14:$F$20)</f>
        <v>C</v>
      </c>
      <c r="L6" s="13">
        <v>1</v>
      </c>
      <c r="M6" s="9" t="s">
        <v>61</v>
      </c>
      <c r="N6" s="10" t="s">
        <v>291</v>
      </c>
      <c r="O6" s="10">
        <v>40</v>
      </c>
      <c r="P6" s="11">
        <v>1</v>
      </c>
      <c r="Q6" s="11" t="str">
        <f>_xlfn.XLOOKUP(M6,'Preferred LOS'!$C$22:$C$30,'Preferred LOS'!$F$22:$F$30)</f>
        <v>D</v>
      </c>
      <c r="R6" s="13">
        <v>0</v>
      </c>
      <c r="S6" s="4" t="s">
        <v>63</v>
      </c>
      <c r="T6" s="10" t="s">
        <v>292</v>
      </c>
      <c r="U6" s="10">
        <v>1500</v>
      </c>
      <c r="V6" s="12">
        <v>1.5</v>
      </c>
      <c r="W6" s="11" t="str">
        <f>_xlfn.XLOOKUP(S6,'Preferred LOS'!$C$31:$C$36,'Preferred LOS'!$F$31:$F$36)</f>
        <v>C</v>
      </c>
      <c r="X6" s="13">
        <v>0</v>
      </c>
      <c r="Y6" s="9" t="s">
        <v>145</v>
      </c>
      <c r="Z6" s="10" t="s">
        <v>288</v>
      </c>
      <c r="AA6" s="10">
        <v>75</v>
      </c>
      <c r="AB6" s="11" t="str">
        <f>_xlfn.XLOOKUP('Data validation'!Y6,'Preferred LOS'!$C$3:$C$6,'Preferred LOS'!$F$3:$F$6)</f>
        <v>D</v>
      </c>
      <c r="AC6" s="13">
        <v>1</v>
      </c>
      <c r="AD6" s="56" t="s">
        <v>293</v>
      </c>
      <c r="AE6" s="11"/>
      <c r="AF6" s="10">
        <v>0</v>
      </c>
      <c r="AG6" s="11">
        <v>1</v>
      </c>
      <c r="AH6" s="13">
        <v>0</v>
      </c>
    </row>
    <row r="7" spans="1:34" x14ac:dyDescent="0.35">
      <c r="A7" s="4" t="s">
        <v>152</v>
      </c>
      <c r="B7" s="10" t="s">
        <v>294</v>
      </c>
      <c r="C7" s="10">
        <v>35</v>
      </c>
      <c r="D7" s="11">
        <v>0.5</v>
      </c>
      <c r="E7" s="11" t="str">
        <f>'Preferred LOS'!F10</f>
        <v>D</v>
      </c>
      <c r="F7" s="11">
        <v>0</v>
      </c>
      <c r="G7" s="9" t="s">
        <v>161</v>
      </c>
      <c r="H7" s="14" t="s">
        <v>290</v>
      </c>
      <c r="I7" s="10">
        <v>15</v>
      </c>
      <c r="J7" s="12">
        <v>2</v>
      </c>
      <c r="K7" s="11" t="str">
        <f>_xlfn.XLOOKUP(G7,'Preferred LOS'!$C$14:$C$20,'Preferred LOS'!$F$14:$F$20)</f>
        <v>C</v>
      </c>
      <c r="L7" s="13">
        <v>0</v>
      </c>
      <c r="M7" s="9" t="s">
        <v>172</v>
      </c>
      <c r="N7" s="10" t="s">
        <v>296</v>
      </c>
      <c r="O7" s="10">
        <v>25</v>
      </c>
      <c r="P7" s="11">
        <v>1</v>
      </c>
      <c r="Q7" s="11" t="str">
        <f>_xlfn.XLOOKUP(M7,'Preferred LOS'!$C$22:$C$30,'Preferred LOS'!$F$22:$F$30)</f>
        <v>D</v>
      </c>
      <c r="R7" s="13">
        <v>0</v>
      </c>
      <c r="S7" s="4" t="s">
        <v>189</v>
      </c>
      <c r="T7" s="10" t="s">
        <v>297</v>
      </c>
      <c r="U7" s="10">
        <v>750</v>
      </c>
      <c r="V7" s="12">
        <v>1</v>
      </c>
      <c r="W7" s="11" t="str">
        <f>_xlfn.XLOOKUP(S7,'Preferred LOS'!$C$31:$C$36,'Preferred LOS'!$F$31:$F$36)</f>
        <v>C</v>
      </c>
      <c r="X7" s="13">
        <v>0</v>
      </c>
      <c r="Y7" s="9" t="s">
        <v>130</v>
      </c>
      <c r="Z7" s="10" t="s">
        <v>298</v>
      </c>
      <c r="AA7" s="10">
        <v>25</v>
      </c>
      <c r="AB7" s="11" t="str">
        <f>_xlfn.XLOOKUP('Data validation'!Y7,'Preferred LOS'!$C$3:$C$6,'Preferred LOS'!$F$3:$F$6)</f>
        <v>D</v>
      </c>
      <c r="AC7" s="13">
        <v>0.5</v>
      </c>
      <c r="AD7" s="56" t="s">
        <v>299</v>
      </c>
      <c r="AE7" s="11"/>
      <c r="AF7" s="10">
        <v>-1</v>
      </c>
      <c r="AG7" s="11">
        <v>1.5</v>
      </c>
      <c r="AH7" s="13">
        <v>1</v>
      </c>
    </row>
    <row r="8" spans="1:34" x14ac:dyDescent="0.35">
      <c r="A8" s="4" t="s">
        <v>153</v>
      </c>
      <c r="B8" s="10" t="s">
        <v>294</v>
      </c>
      <c r="C8" s="10">
        <v>35</v>
      </c>
      <c r="D8" s="11">
        <v>0.5</v>
      </c>
      <c r="E8" s="11" t="str">
        <f>'Preferred LOS'!F11</f>
        <v>D</v>
      </c>
      <c r="F8" s="11">
        <v>0</v>
      </c>
      <c r="G8" s="9" t="s">
        <v>162</v>
      </c>
      <c r="H8" s="14" t="s">
        <v>295</v>
      </c>
      <c r="I8" s="10">
        <v>6</v>
      </c>
      <c r="J8" s="12">
        <v>1</v>
      </c>
      <c r="K8" s="11" t="str">
        <f>_xlfn.XLOOKUP(G8,'Preferred LOS'!$C$14:$C$20,'Preferred LOS'!$F$14:$F$20)</f>
        <v>D</v>
      </c>
      <c r="L8" s="13">
        <v>0</v>
      </c>
      <c r="M8" s="58" t="s">
        <v>174</v>
      </c>
      <c r="N8" s="14" t="s">
        <v>290</v>
      </c>
      <c r="O8" s="10">
        <v>15</v>
      </c>
      <c r="P8" s="11">
        <v>0.5</v>
      </c>
      <c r="Q8" s="11" t="str">
        <f>_xlfn.XLOOKUP(M8,'Preferred LOS'!$C$22:$C$30,'Preferred LOS'!$F$22:$F$30)</f>
        <v>D</v>
      </c>
      <c r="R8" s="13">
        <v>0</v>
      </c>
      <c r="S8" s="4" t="s">
        <v>191</v>
      </c>
      <c r="T8" s="10" t="s">
        <v>301</v>
      </c>
      <c r="U8" s="10">
        <v>375</v>
      </c>
      <c r="V8" s="12">
        <v>0.5</v>
      </c>
      <c r="W8" s="11" t="str">
        <f>_xlfn.XLOOKUP(S8,'Preferred LOS'!$C$31:$C$36,'Preferred LOS'!$F$31:$F$36)</f>
        <v>D</v>
      </c>
      <c r="X8" s="13">
        <v>0</v>
      </c>
      <c r="Y8" s="22"/>
      <c r="Z8" s="17" t="s">
        <v>298</v>
      </c>
      <c r="AA8" s="17">
        <v>25</v>
      </c>
      <c r="AB8" s="23" t="str">
        <f>AB7</f>
        <v>D</v>
      </c>
      <c r="AC8" s="19">
        <v>0.5</v>
      </c>
      <c r="AD8" s="56" t="s">
        <v>302</v>
      </c>
      <c r="AE8" s="11"/>
      <c r="AF8" s="10">
        <v>-1</v>
      </c>
      <c r="AG8" s="11">
        <v>1.5</v>
      </c>
      <c r="AH8" s="13">
        <v>1</v>
      </c>
    </row>
    <row r="9" spans="1:34" ht="23" x14ac:dyDescent="0.35">
      <c r="A9" s="4" t="s">
        <v>154</v>
      </c>
      <c r="B9" s="10" t="s">
        <v>294</v>
      </c>
      <c r="C9" s="10">
        <v>35</v>
      </c>
      <c r="D9" s="11">
        <v>0.5</v>
      </c>
      <c r="E9" s="11" t="str">
        <f>'Preferred LOS'!F12</f>
        <v>D</v>
      </c>
      <c r="F9" s="11">
        <v>0</v>
      </c>
      <c r="G9" s="9" t="s">
        <v>163</v>
      </c>
      <c r="H9" s="14" t="s">
        <v>300</v>
      </c>
      <c r="I9" s="10">
        <v>4</v>
      </c>
      <c r="J9" s="12">
        <v>0.5</v>
      </c>
      <c r="K9" s="11" t="str">
        <f>_xlfn.XLOOKUP(G9,'Preferred LOS'!$C$14:$C$20,'Preferred LOS'!$F$14:$F$20)</f>
        <v>E</v>
      </c>
      <c r="L9" s="13">
        <v>0</v>
      </c>
      <c r="M9" s="58" t="s">
        <v>176</v>
      </c>
      <c r="N9" s="14" t="s">
        <v>290</v>
      </c>
      <c r="O9" s="10">
        <v>15</v>
      </c>
      <c r="P9" s="11">
        <v>0.5</v>
      </c>
      <c r="Q9" s="11" t="str">
        <f>_xlfn.XLOOKUP(M9,'Preferred LOS'!$C$22:$C$30,'Preferred LOS'!$F$22:$F$30)</f>
        <v>D</v>
      </c>
      <c r="R9" s="13">
        <v>0</v>
      </c>
      <c r="S9" s="16" t="s">
        <v>193</v>
      </c>
      <c r="T9" s="17" t="s">
        <v>303</v>
      </c>
      <c r="U9" s="17">
        <v>125</v>
      </c>
      <c r="V9" s="18">
        <v>0.5</v>
      </c>
      <c r="W9" s="23" t="str">
        <f>_xlfn.XLOOKUP(S9,'Preferred LOS'!$C$31:$C$36,'Preferred LOS'!$F$31:$F$36)</f>
        <v>E</v>
      </c>
      <c r="X9" s="19">
        <v>0</v>
      </c>
      <c r="AD9" s="56" t="s">
        <v>304</v>
      </c>
      <c r="AE9" s="21"/>
      <c r="AF9" s="20">
        <v>-1</v>
      </c>
      <c r="AG9" s="11">
        <v>1.5</v>
      </c>
      <c r="AH9" s="13">
        <v>1</v>
      </c>
    </row>
    <row r="10" spans="1:34" x14ac:dyDescent="0.35">
      <c r="A10" s="22" t="s">
        <v>130</v>
      </c>
      <c r="B10" s="17" t="s">
        <v>305</v>
      </c>
      <c r="C10" s="17">
        <v>10</v>
      </c>
      <c r="D10" s="23">
        <v>0.5</v>
      </c>
      <c r="E10" s="23" t="s">
        <v>155</v>
      </c>
      <c r="F10" s="23">
        <v>0</v>
      </c>
      <c r="G10" s="9" t="s">
        <v>164</v>
      </c>
      <c r="H10" s="14" t="s">
        <v>300</v>
      </c>
      <c r="I10" s="10">
        <v>4</v>
      </c>
      <c r="J10" s="12">
        <v>0.5</v>
      </c>
      <c r="K10" s="11" t="str">
        <f>_xlfn.XLOOKUP(G10,'Preferred LOS'!$C$14:$C$20,'Preferred LOS'!$F$14:$F$20)</f>
        <v>D</v>
      </c>
      <c r="L10" s="13">
        <v>0</v>
      </c>
      <c r="M10" s="58" t="s">
        <v>178</v>
      </c>
      <c r="N10" s="14" t="s">
        <v>290</v>
      </c>
      <c r="O10" s="10">
        <v>15</v>
      </c>
      <c r="P10" s="11">
        <v>0.5</v>
      </c>
      <c r="Q10" s="11" t="str">
        <f>_xlfn.XLOOKUP(M10,'Preferred LOS'!$C$22:$C$30,'Preferred LOS'!$F$22:$F$30)</f>
        <v>D</v>
      </c>
      <c r="R10" s="13">
        <v>0</v>
      </c>
      <c r="AD10" s="56" t="s">
        <v>306</v>
      </c>
      <c r="AE10" s="21"/>
      <c r="AF10" s="20">
        <v>-1</v>
      </c>
      <c r="AG10" s="11">
        <v>1.5</v>
      </c>
      <c r="AH10" s="13">
        <v>1</v>
      </c>
    </row>
    <row r="11" spans="1:34" x14ac:dyDescent="0.35">
      <c r="A11" s="54"/>
      <c r="G11" s="22" t="s">
        <v>130</v>
      </c>
      <c r="H11" s="17">
        <v>0</v>
      </c>
      <c r="I11" s="17">
        <v>0</v>
      </c>
      <c r="J11" s="18">
        <v>0.5</v>
      </c>
      <c r="K11" s="23" t="str">
        <f>_xlfn.XLOOKUP(G11,'Preferred LOS'!$C$14:$C$21,'Preferred LOS'!$F$14:$F$21)</f>
        <v>E</v>
      </c>
      <c r="L11" s="19">
        <v>0</v>
      </c>
      <c r="M11" s="58" t="s">
        <v>180</v>
      </c>
      <c r="N11" s="14" t="s">
        <v>290</v>
      </c>
      <c r="O11" s="10">
        <v>15</v>
      </c>
      <c r="P11" s="11">
        <v>0.5</v>
      </c>
      <c r="Q11" s="11" t="str">
        <f>_xlfn.XLOOKUP(M11,'Preferred LOS'!$C$22:$C$30,'Preferred LOS'!$F$22:$F$30)</f>
        <v>D</v>
      </c>
      <c r="R11" s="13">
        <v>0</v>
      </c>
      <c r="AD11" s="56" t="s">
        <v>307</v>
      </c>
      <c r="AE11" s="21"/>
      <c r="AF11" s="20">
        <v>-1</v>
      </c>
      <c r="AG11" s="21">
        <v>1</v>
      </c>
      <c r="AH11" s="13">
        <v>0</v>
      </c>
    </row>
    <row r="12" spans="1:34" x14ac:dyDescent="0.35">
      <c r="A12" s="57" t="s">
        <v>308</v>
      </c>
      <c r="B12" s="57"/>
      <c r="M12" s="22" t="s">
        <v>130</v>
      </c>
      <c r="N12" s="17" t="s">
        <v>309</v>
      </c>
      <c r="O12" s="17">
        <v>5</v>
      </c>
      <c r="P12" s="23">
        <v>0.5</v>
      </c>
      <c r="Q12" s="23" t="str">
        <f>_xlfn.XLOOKUP(M12,'Preferred LOS'!$C$22:$C$30,'Preferred LOS'!$F$22:$F$30)</f>
        <v>E</v>
      </c>
      <c r="R12" s="19">
        <v>0</v>
      </c>
      <c r="AD12" s="56" t="s">
        <v>310</v>
      </c>
      <c r="AF12" s="10">
        <v>0</v>
      </c>
      <c r="AG12" s="11">
        <v>1</v>
      </c>
      <c r="AH12" s="13">
        <v>0</v>
      </c>
    </row>
    <row r="13" spans="1:34" x14ac:dyDescent="0.35">
      <c r="L13" s="4"/>
      <c r="O13" s="11"/>
      <c r="R13" s="4"/>
      <c r="U13" s="11"/>
      <c r="X13" s="4"/>
      <c r="AD13" s="56" t="s">
        <v>311</v>
      </c>
      <c r="AF13" s="10">
        <v>0</v>
      </c>
      <c r="AG13" s="11">
        <v>1</v>
      </c>
      <c r="AH13" s="13">
        <v>0</v>
      </c>
    </row>
    <row r="14" spans="1:34" ht="43.5" x14ac:dyDescent="0.35">
      <c r="A14" s="24" t="s">
        <v>312</v>
      </c>
      <c r="B14" s="5" t="s">
        <v>313</v>
      </c>
      <c r="C14" s="5" t="s">
        <v>314</v>
      </c>
      <c r="D14" s="25" t="s">
        <v>315</v>
      </c>
      <c r="E14" s="25"/>
      <c r="F14" s="25"/>
      <c r="G14" s="25"/>
      <c r="H14" s="25"/>
      <c r="I14" s="11"/>
      <c r="K14" s="4"/>
      <c r="L14" s="4"/>
      <c r="N14" s="11"/>
      <c r="O14" s="11"/>
      <c r="Q14" s="4"/>
      <c r="R14" s="4"/>
      <c r="T14" s="11"/>
      <c r="U14" s="11"/>
      <c r="W14" s="4"/>
      <c r="X14" s="4"/>
      <c r="AD14" s="56" t="s">
        <v>316</v>
      </c>
      <c r="AE14" s="11"/>
      <c r="AF14" s="10">
        <v>0</v>
      </c>
      <c r="AG14" s="11">
        <v>1</v>
      </c>
      <c r="AH14" s="13">
        <v>0</v>
      </c>
    </row>
    <row r="15" spans="1:34" x14ac:dyDescent="0.35">
      <c r="A15" s="26" t="s">
        <v>53</v>
      </c>
      <c r="B15" s="10">
        <v>1</v>
      </c>
      <c r="D15" s="25" t="s">
        <v>317</v>
      </c>
      <c r="E15" s="25"/>
      <c r="F15" s="25"/>
      <c r="G15" s="25"/>
      <c r="H15" s="25"/>
      <c r="I15" s="11"/>
      <c r="K15" s="4"/>
      <c r="L15" s="4"/>
      <c r="N15" s="11"/>
      <c r="O15" s="11"/>
      <c r="Q15" s="4"/>
      <c r="R15" s="4"/>
      <c r="T15" s="11"/>
      <c r="U15" s="11"/>
      <c r="W15" s="4"/>
      <c r="X15" s="4"/>
      <c r="AD15" s="22" t="s">
        <v>318</v>
      </c>
      <c r="AE15" s="16"/>
      <c r="AF15" s="17">
        <v>0</v>
      </c>
      <c r="AG15" s="23">
        <v>1</v>
      </c>
      <c r="AH15" s="19">
        <v>0</v>
      </c>
    </row>
    <row r="16" spans="1:34" x14ac:dyDescent="0.35">
      <c r="A16" s="26" t="s">
        <v>56</v>
      </c>
      <c r="B16" s="10">
        <v>1</v>
      </c>
      <c r="D16" s="25" t="s">
        <v>319</v>
      </c>
      <c r="E16" s="25"/>
      <c r="F16" s="25"/>
      <c r="G16" s="25"/>
      <c r="H16" s="25"/>
      <c r="I16" s="11"/>
      <c r="K16" s="4"/>
      <c r="L16" s="4"/>
      <c r="N16" s="11"/>
      <c r="O16" s="11"/>
      <c r="Q16" s="4"/>
      <c r="R16" s="4"/>
      <c r="T16" s="11"/>
      <c r="U16" s="11"/>
      <c r="W16" s="4"/>
      <c r="X16" s="4"/>
    </row>
    <row r="17" spans="1:34" x14ac:dyDescent="0.35">
      <c r="A17" s="26" t="s">
        <v>59</v>
      </c>
      <c r="B17" s="10">
        <v>50</v>
      </c>
      <c r="D17" s="25" t="s">
        <v>320</v>
      </c>
      <c r="E17" s="25"/>
      <c r="F17" s="25"/>
      <c r="G17" s="25"/>
      <c r="H17" s="25"/>
      <c r="I17" s="11"/>
      <c r="K17" s="4"/>
      <c r="L17" s="4"/>
      <c r="N17" s="11"/>
      <c r="O17" s="11"/>
      <c r="Q17" s="4"/>
      <c r="R17" s="4"/>
      <c r="T17" s="11"/>
      <c r="U17" s="11"/>
      <c r="W17" s="4"/>
      <c r="X17" s="4"/>
    </row>
    <row r="18" spans="1:34" x14ac:dyDescent="0.35">
      <c r="A18" s="26" t="s">
        <v>21</v>
      </c>
      <c r="B18" s="27">
        <f>C18/C19</f>
        <v>3.8974358974358978</v>
      </c>
      <c r="C18" s="11">
        <f>7.8+(17.1+28.1)/2</f>
        <v>30.400000000000002</v>
      </c>
      <c r="D18" s="25" t="s">
        <v>321</v>
      </c>
      <c r="E18" s="25"/>
      <c r="F18" s="25"/>
      <c r="G18" s="25"/>
      <c r="H18" s="25"/>
      <c r="I18" s="11"/>
      <c r="K18" s="4"/>
      <c r="L18" s="4"/>
      <c r="N18" s="11"/>
      <c r="O18" s="11"/>
      <c r="Q18" s="4"/>
      <c r="R18" s="4"/>
      <c r="T18" s="11"/>
      <c r="U18" s="11"/>
      <c r="W18" s="4"/>
      <c r="X18" s="4"/>
      <c r="AD18"/>
      <c r="AE18"/>
      <c r="AF18"/>
      <c r="AG18"/>
      <c r="AH18"/>
    </row>
    <row r="19" spans="1:34" x14ac:dyDescent="0.35">
      <c r="A19" s="28" t="s">
        <v>64</v>
      </c>
      <c r="B19" s="15">
        <v>1.2</v>
      </c>
      <c r="C19" s="3">
        <f>7.8</f>
        <v>7.8</v>
      </c>
      <c r="D19" s="11" t="s">
        <v>322</v>
      </c>
      <c r="E19" s="25"/>
      <c r="F19" s="25"/>
      <c r="G19" s="25"/>
      <c r="H19" s="25"/>
      <c r="I19" s="11"/>
      <c r="K19" s="4"/>
      <c r="L19" s="4"/>
      <c r="N19" s="11"/>
      <c r="O19" s="11"/>
      <c r="Q19" s="4"/>
      <c r="R19" s="4"/>
      <c r="T19" s="11"/>
      <c r="U19" s="11"/>
      <c r="W19" s="4"/>
      <c r="X19" s="4"/>
    </row>
    <row r="20" spans="1:34" x14ac:dyDescent="0.35">
      <c r="A20" s="29"/>
      <c r="B20" s="29"/>
      <c r="C20" s="29"/>
      <c r="D20" s="3"/>
      <c r="E20" s="3"/>
      <c r="F20" s="2"/>
      <c r="G20" s="2"/>
      <c r="I20" s="11"/>
      <c r="K20" s="4"/>
      <c r="L20" s="4"/>
      <c r="N20" s="11"/>
      <c r="O20" s="11"/>
      <c r="Q20" s="4"/>
      <c r="R20" s="4"/>
      <c r="T20" s="11"/>
      <c r="U20" s="11"/>
      <c r="W20" s="4"/>
      <c r="X20" s="4"/>
    </row>
    <row r="21" spans="1:34" ht="21" x14ac:dyDescent="0.35">
      <c r="A21" s="1" t="s">
        <v>323</v>
      </c>
      <c r="B21" s="30"/>
      <c r="C21" s="30"/>
      <c r="D21" s="30"/>
      <c r="E21" s="30"/>
      <c r="F21" s="30"/>
      <c r="G21" s="30"/>
      <c r="H21" s="11"/>
      <c r="I21" s="11"/>
      <c r="K21" s="4"/>
      <c r="L21" s="4"/>
      <c r="M21" s="11"/>
      <c r="N21" s="11"/>
      <c r="O21" s="11"/>
      <c r="P21" s="4"/>
      <c r="Q21" s="4"/>
      <c r="R21" s="4"/>
      <c r="S21"/>
      <c r="T21"/>
      <c r="U21" s="11"/>
      <c r="V21" s="4"/>
      <c r="W21" s="4"/>
      <c r="X21" s="4"/>
      <c r="AC21" s="11"/>
    </row>
    <row r="22" spans="1:34" ht="58" x14ac:dyDescent="0.35">
      <c r="A22" s="31" t="s">
        <v>324</v>
      </c>
      <c r="B22" s="32"/>
      <c r="C22" s="489" t="s">
        <v>325</v>
      </c>
      <c r="D22" s="489"/>
      <c r="E22" s="33" t="s">
        <v>326</v>
      </c>
      <c r="F22" s="489" t="s">
        <v>327</v>
      </c>
      <c r="G22" s="489"/>
      <c r="H22" s="34" t="s">
        <v>328</v>
      </c>
      <c r="I22" s="497" t="s">
        <v>329</v>
      </c>
      <c r="J22" s="498"/>
      <c r="K22" s="497" t="s">
        <v>330</v>
      </c>
      <c r="L22" s="498"/>
      <c r="M22" s="489" t="s">
        <v>331</v>
      </c>
      <c r="N22" s="489"/>
      <c r="O22" s="35"/>
      <c r="P22" s="4"/>
      <c r="Q22" s="4"/>
      <c r="R22" s="4"/>
      <c r="S22" s="194" t="s">
        <v>332</v>
      </c>
      <c r="T22" s="194" t="s">
        <v>333</v>
      </c>
      <c r="U22" s="11"/>
      <c r="V22" s="4"/>
      <c r="W22" s="4"/>
      <c r="X22" s="4"/>
      <c r="AC22" s="11"/>
      <c r="AD22" s="55"/>
      <c r="AE22" s="11"/>
      <c r="AF22" s="11"/>
      <c r="AG22" s="4"/>
      <c r="AH22" s="4"/>
    </row>
    <row r="23" spans="1:34" x14ac:dyDescent="0.35">
      <c r="A23" s="4" t="s">
        <v>334</v>
      </c>
      <c r="B23" s="36">
        <v>2</v>
      </c>
      <c r="C23" s="37" t="s">
        <v>335</v>
      </c>
      <c r="D23" s="11" t="s">
        <v>336</v>
      </c>
      <c r="E23" s="38">
        <v>0</v>
      </c>
      <c r="F23" s="37" t="s">
        <v>337</v>
      </c>
      <c r="G23" s="11" t="s">
        <v>336</v>
      </c>
      <c r="H23" s="39" t="s">
        <v>338</v>
      </c>
      <c r="I23" s="11" t="s">
        <v>339</v>
      </c>
      <c r="J23" s="11">
        <v>7</v>
      </c>
      <c r="K23" s="11" t="s">
        <v>79</v>
      </c>
      <c r="M23" s="41">
        <v>-3</v>
      </c>
      <c r="N23" s="42" t="s">
        <v>76</v>
      </c>
      <c r="O23" s="25"/>
      <c r="P23" s="4" t="s">
        <v>340</v>
      </c>
      <c r="Q23" s="4"/>
      <c r="R23" s="4"/>
      <c r="S23" s="40" t="s">
        <v>341</v>
      </c>
      <c r="T23" s="195" t="s">
        <v>342</v>
      </c>
      <c r="U23" s="11"/>
      <c r="V23" s="4"/>
      <c r="W23" s="4"/>
      <c r="X23" s="4"/>
      <c r="AC23" s="11"/>
      <c r="AD23" s="55"/>
      <c r="AE23" s="11"/>
      <c r="AF23" s="11"/>
      <c r="AG23" s="4"/>
      <c r="AH23" s="4"/>
    </row>
    <row r="24" spans="1:34" x14ac:dyDescent="0.35">
      <c r="A24" s="4" t="s">
        <v>77</v>
      </c>
      <c r="B24" s="36">
        <v>1</v>
      </c>
      <c r="C24" s="43" t="s">
        <v>343</v>
      </c>
      <c r="D24" s="11" t="s">
        <v>344</v>
      </c>
      <c r="E24" s="44">
        <v>1</v>
      </c>
      <c r="F24" s="43" t="s">
        <v>345</v>
      </c>
      <c r="G24" s="11" t="s">
        <v>344</v>
      </c>
      <c r="H24" s="39" t="s">
        <v>346</v>
      </c>
      <c r="I24" s="40" t="s">
        <v>341</v>
      </c>
      <c r="J24" s="11">
        <v>6</v>
      </c>
      <c r="K24" s="40" t="s">
        <v>341</v>
      </c>
      <c r="L24" s="11">
        <v>0</v>
      </c>
      <c r="M24" s="40">
        <v>-2.5</v>
      </c>
      <c r="N24" s="45" t="s">
        <v>76</v>
      </c>
      <c r="O24" s="25"/>
      <c r="P24" s="4" t="s">
        <v>347</v>
      </c>
      <c r="Q24" s="4"/>
      <c r="R24" s="4"/>
      <c r="S24" s="40" t="s">
        <v>78</v>
      </c>
      <c r="T24" s="11" t="s">
        <v>348</v>
      </c>
      <c r="U24" s="11"/>
      <c r="V24" s="4"/>
      <c r="W24" s="4"/>
      <c r="X24" s="4"/>
      <c r="AC24" s="11"/>
      <c r="AD24" s="55"/>
      <c r="AE24" s="11"/>
      <c r="AF24" s="11"/>
      <c r="AG24" s="4"/>
      <c r="AH24" s="4"/>
    </row>
    <row r="25" spans="1:34" x14ac:dyDescent="0.35">
      <c r="A25" s="4" t="s">
        <v>349</v>
      </c>
      <c r="B25" s="36">
        <v>0.5</v>
      </c>
      <c r="C25" s="46" t="s">
        <v>107</v>
      </c>
      <c r="D25" s="3" t="s">
        <v>350</v>
      </c>
      <c r="E25" s="44">
        <v>2</v>
      </c>
      <c r="F25" s="46" t="s">
        <v>351</v>
      </c>
      <c r="G25" s="3" t="s">
        <v>350</v>
      </c>
      <c r="H25" s="39" t="s">
        <v>352</v>
      </c>
      <c r="I25" s="40" t="s">
        <v>78</v>
      </c>
      <c r="J25" s="11">
        <v>5</v>
      </c>
      <c r="K25" s="40" t="s">
        <v>78</v>
      </c>
      <c r="L25" s="11">
        <v>0.5</v>
      </c>
      <c r="M25" s="41">
        <v>-2</v>
      </c>
      <c r="N25" s="45" t="s">
        <v>76</v>
      </c>
      <c r="O25" s="25"/>
      <c r="P25" s="4"/>
      <c r="Q25" s="4"/>
      <c r="R25" s="4"/>
      <c r="S25" s="40" t="s">
        <v>144</v>
      </c>
      <c r="T25" s="11" t="s">
        <v>353</v>
      </c>
      <c r="U25" s="11"/>
      <c r="V25" s="4"/>
      <c r="W25" s="4"/>
      <c r="X25" s="4"/>
      <c r="AC25" s="11"/>
      <c r="AD25" s="55"/>
      <c r="AE25" s="11"/>
      <c r="AF25" s="11"/>
      <c r="AG25" s="4"/>
      <c r="AH25" s="4"/>
    </row>
    <row r="26" spans="1:34" x14ac:dyDescent="0.35">
      <c r="A26" s="4" t="s">
        <v>80</v>
      </c>
      <c r="B26" s="36">
        <v>0</v>
      </c>
      <c r="D26" s="4"/>
      <c r="E26" s="44">
        <v>3</v>
      </c>
      <c r="F26" s="4"/>
      <c r="H26" s="47" t="s">
        <v>354</v>
      </c>
      <c r="I26" s="40" t="s">
        <v>144</v>
      </c>
      <c r="J26" s="11">
        <v>4</v>
      </c>
      <c r="K26" s="40" t="s">
        <v>144</v>
      </c>
      <c r="L26" s="11">
        <v>1</v>
      </c>
      <c r="M26" s="40">
        <v>-1.5</v>
      </c>
      <c r="N26" s="45" t="s">
        <v>76</v>
      </c>
      <c r="O26" s="25"/>
      <c r="Q26" s="4"/>
      <c r="R26" s="4"/>
      <c r="S26" s="40" t="s">
        <v>83</v>
      </c>
      <c r="T26" s="11" t="s">
        <v>355</v>
      </c>
      <c r="U26" s="11"/>
      <c r="V26" s="4"/>
      <c r="W26" s="4"/>
      <c r="X26" s="4"/>
      <c r="AC26" s="11"/>
      <c r="AD26" s="55"/>
      <c r="AE26" s="11"/>
      <c r="AF26" s="11"/>
      <c r="AG26" s="4"/>
      <c r="AH26" s="4"/>
    </row>
    <row r="27" spans="1:34" x14ac:dyDescent="0.35">
      <c r="A27" s="4" t="s">
        <v>356</v>
      </c>
      <c r="B27" s="36">
        <v>-0.5</v>
      </c>
      <c r="D27" s="4"/>
      <c r="E27" s="44">
        <v>4</v>
      </c>
      <c r="F27" s="4"/>
      <c r="H27" s="11"/>
      <c r="I27" s="40" t="s">
        <v>83</v>
      </c>
      <c r="J27" s="11">
        <v>3</v>
      </c>
      <c r="K27" s="40" t="s">
        <v>83</v>
      </c>
      <c r="L27" s="11">
        <v>1.5</v>
      </c>
      <c r="M27" s="41">
        <v>-1</v>
      </c>
      <c r="N27" s="45" t="s">
        <v>76</v>
      </c>
      <c r="O27" s="25"/>
      <c r="P27" s="4"/>
      <c r="Q27" s="4"/>
      <c r="R27" s="4"/>
      <c r="S27" s="40" t="s">
        <v>155</v>
      </c>
      <c r="T27" s="11" t="s">
        <v>357</v>
      </c>
      <c r="U27" s="11"/>
      <c r="V27" s="4"/>
      <c r="W27" s="4"/>
      <c r="X27" s="4"/>
      <c r="AC27" s="11"/>
      <c r="AD27" s="55"/>
      <c r="AE27" s="11"/>
      <c r="AG27" s="4"/>
      <c r="AH27" s="4"/>
    </row>
    <row r="28" spans="1:34" x14ac:dyDescent="0.35">
      <c r="A28" s="48" t="s">
        <v>76</v>
      </c>
      <c r="B28" s="49">
        <v>-1</v>
      </c>
      <c r="D28" s="4"/>
      <c r="E28" s="44">
        <v>5</v>
      </c>
      <c r="F28" s="4"/>
      <c r="H28" s="11"/>
      <c r="I28" s="40" t="s">
        <v>155</v>
      </c>
      <c r="J28" s="11">
        <v>2</v>
      </c>
      <c r="K28" s="40" t="s">
        <v>155</v>
      </c>
      <c r="L28" s="11">
        <v>2</v>
      </c>
      <c r="M28" s="40">
        <v>-0.5</v>
      </c>
      <c r="N28" s="50" t="s">
        <v>356</v>
      </c>
      <c r="P28" s="4"/>
      <c r="Q28" s="4"/>
      <c r="R28" s="4"/>
      <c r="S28" s="40" t="s">
        <v>81</v>
      </c>
      <c r="T28" s="11" t="s">
        <v>81</v>
      </c>
      <c r="U28" s="11"/>
      <c r="V28" s="4"/>
      <c r="W28" s="4"/>
      <c r="X28" s="4"/>
      <c r="AC28" s="11"/>
      <c r="AD28" s="55"/>
    </row>
    <row r="29" spans="1:34" x14ac:dyDescent="0.35">
      <c r="A29" s="4" t="s">
        <v>341</v>
      </c>
      <c r="D29" s="4"/>
      <c r="E29" s="44">
        <v>6</v>
      </c>
      <c r="F29" s="4"/>
      <c r="H29" s="11"/>
      <c r="I29" s="40" t="s">
        <v>81</v>
      </c>
      <c r="J29" s="11">
        <v>1</v>
      </c>
      <c r="K29" s="40" t="s">
        <v>81</v>
      </c>
      <c r="L29" s="11">
        <v>2.5</v>
      </c>
      <c r="M29" s="41">
        <v>0</v>
      </c>
      <c r="N29" s="50" t="s">
        <v>80</v>
      </c>
      <c r="P29" s="4"/>
      <c r="Q29" s="4"/>
      <c r="R29" s="4"/>
      <c r="S29" s="11"/>
      <c r="T29" s="11"/>
      <c r="U29" s="11"/>
      <c r="V29" s="4"/>
      <c r="W29" s="4"/>
      <c r="X29" s="4"/>
      <c r="AC29" s="11"/>
      <c r="AD29" s="55"/>
      <c r="AG29" s="4"/>
      <c r="AH29" s="4"/>
    </row>
    <row r="30" spans="1:34" x14ac:dyDescent="0.35">
      <c r="A30" s="4" t="s">
        <v>78</v>
      </c>
      <c r="D30" s="4"/>
      <c r="E30" s="52">
        <v>7</v>
      </c>
      <c r="F30" s="4"/>
      <c r="H30" s="11"/>
      <c r="I30" s="51" t="s">
        <v>358</v>
      </c>
      <c r="J30" s="11">
        <v>0</v>
      </c>
      <c r="K30" s="51" t="s">
        <v>358</v>
      </c>
      <c r="L30" s="11">
        <v>3</v>
      </c>
      <c r="M30" s="40">
        <v>0.5</v>
      </c>
      <c r="N30" s="50" t="s">
        <v>359</v>
      </c>
      <c r="P30" s="4"/>
      <c r="Q30" s="4"/>
      <c r="R30" s="4"/>
      <c r="S30" s="11"/>
      <c r="T30" s="11"/>
      <c r="U30" s="11"/>
      <c r="V30" s="4"/>
      <c r="W30" s="4"/>
      <c r="X30" s="4"/>
      <c r="AC30" s="11"/>
      <c r="AD30" s="55"/>
      <c r="AG30" s="4"/>
      <c r="AH30" s="4"/>
    </row>
    <row r="31" spans="1:34" x14ac:dyDescent="0.35">
      <c r="A31" s="4" t="s">
        <v>144</v>
      </c>
      <c r="E31" s="4"/>
      <c r="F31" s="4"/>
      <c r="H31" s="11"/>
      <c r="I31" s="11"/>
      <c r="K31" s="4"/>
      <c r="L31" s="4"/>
      <c r="M31" s="41">
        <v>1</v>
      </c>
      <c r="N31" s="50" t="s">
        <v>77</v>
      </c>
      <c r="P31" s="4"/>
      <c r="Q31" s="4"/>
      <c r="R31" s="4"/>
      <c r="S31" s="11"/>
      <c r="T31" s="11"/>
      <c r="U31" s="11"/>
      <c r="V31" s="4"/>
      <c r="W31" s="4"/>
      <c r="X31" s="4"/>
      <c r="AC31" s="11"/>
      <c r="AD31" s="55"/>
      <c r="AG31" s="4"/>
      <c r="AH31" s="4"/>
    </row>
    <row r="32" spans="1:34" x14ac:dyDescent="0.35">
      <c r="A32" s="4" t="s">
        <v>83</v>
      </c>
      <c r="E32" s="4"/>
      <c r="F32" s="4"/>
      <c r="H32" s="11"/>
      <c r="I32" s="11"/>
      <c r="K32" s="4"/>
      <c r="L32" s="4"/>
      <c r="M32" s="40">
        <v>1.5</v>
      </c>
      <c r="N32" s="50" t="s">
        <v>77</v>
      </c>
      <c r="P32" s="4"/>
      <c r="Q32" s="4"/>
      <c r="R32" s="4"/>
      <c r="S32" s="11"/>
      <c r="T32" s="11"/>
      <c r="U32" s="11"/>
      <c r="V32" s="4"/>
      <c r="W32" s="4"/>
      <c r="X32" s="4"/>
      <c r="AC32" s="11"/>
      <c r="AD32" s="55"/>
      <c r="AG32" s="4"/>
      <c r="AH32" s="4"/>
    </row>
    <row r="33" spans="1:34" x14ac:dyDescent="0.35">
      <c r="A33" s="4" t="s">
        <v>155</v>
      </c>
      <c r="F33" s="4"/>
      <c r="I33" s="11"/>
      <c r="K33" s="4"/>
      <c r="L33" s="4"/>
      <c r="M33" s="41">
        <v>2</v>
      </c>
      <c r="N33" s="50" t="s">
        <v>77</v>
      </c>
      <c r="Q33" s="4"/>
      <c r="R33" s="4"/>
      <c r="T33" s="11"/>
      <c r="U33" s="11"/>
      <c r="W33" s="4"/>
      <c r="X33" s="4"/>
      <c r="AG33" s="4"/>
      <c r="AH33" s="4"/>
    </row>
    <row r="34" spans="1:34" x14ac:dyDescent="0.35">
      <c r="A34" s="4" t="s">
        <v>81</v>
      </c>
      <c r="F34" s="4"/>
      <c r="I34" s="11"/>
      <c r="K34" s="4"/>
      <c r="L34" s="4"/>
      <c r="M34" s="40">
        <v>2.5</v>
      </c>
      <c r="N34" s="50" t="s">
        <v>77</v>
      </c>
      <c r="Q34" s="4"/>
      <c r="R34" s="4"/>
      <c r="T34" s="11"/>
      <c r="U34" s="11"/>
      <c r="W34" s="4"/>
      <c r="X34" s="4"/>
      <c r="AD34" s="11"/>
      <c r="AE34" s="11"/>
      <c r="AF34" s="11"/>
      <c r="AG34" s="4"/>
      <c r="AH34" s="4"/>
    </row>
    <row r="35" spans="1:34" x14ac:dyDescent="0.35">
      <c r="A35" s="4" t="s">
        <v>360</v>
      </c>
      <c r="F35" s="4"/>
      <c r="I35" s="11"/>
      <c r="K35" s="4"/>
      <c r="L35" s="4"/>
      <c r="M35" s="41">
        <v>3</v>
      </c>
      <c r="N35" s="53" t="s">
        <v>77</v>
      </c>
      <c r="Q35" s="4"/>
      <c r="R35" s="4"/>
      <c r="T35" s="11"/>
      <c r="U35" s="11"/>
      <c r="W35" s="4"/>
      <c r="X35" s="4"/>
      <c r="AD35" s="11"/>
      <c r="AE35" s="11"/>
      <c r="AF35" s="11"/>
      <c r="AG35" s="4"/>
      <c r="AH35" s="4"/>
    </row>
    <row r="36" spans="1:34" x14ac:dyDescent="0.35">
      <c r="F36" s="4"/>
      <c r="I36" s="11"/>
      <c r="K36" s="4"/>
      <c r="L36" s="4"/>
      <c r="N36" s="11"/>
      <c r="O36" s="11"/>
      <c r="Q36" s="4"/>
      <c r="R36" s="4"/>
      <c r="T36" s="11"/>
      <c r="U36" s="11"/>
      <c r="W36" s="4"/>
      <c r="X36" s="4"/>
      <c r="AD36" s="11"/>
      <c r="AE36" s="11"/>
      <c r="AF36" s="11"/>
      <c r="AG36" s="4"/>
      <c r="AH36" s="4"/>
    </row>
    <row r="37" spans="1:34" x14ac:dyDescent="0.35">
      <c r="F37" s="4"/>
      <c r="I37" s="11"/>
      <c r="K37" s="4"/>
      <c r="L37" s="4"/>
      <c r="N37" s="11"/>
      <c r="O37" s="11"/>
      <c r="Q37" s="4"/>
      <c r="R37" s="4"/>
      <c r="T37" s="11"/>
      <c r="U37" s="11"/>
      <c r="W37" s="4"/>
      <c r="X37" s="4"/>
      <c r="AD37" s="11"/>
      <c r="AE37" s="11"/>
      <c r="AF37" s="11"/>
      <c r="AG37" s="4"/>
      <c r="AH37" s="4"/>
    </row>
  </sheetData>
  <sheetProtection algorithmName="SHA-512" hashValue="HGxn2UGDrcTtMWBe3R+Esuz+jRxe6q4ksvOHlQKg6gLi7uNKcKierEg9Ag0ScAxXQoM39iRmdwWqEzErTi2soQ==" saltValue="ntQsp4TQKUQJi0Nn2hRNMQ==" spinCount="100000" sheet="1" objects="1" scenarios="1"/>
  <mergeCells count="16">
    <mergeCell ref="AD2:AH2"/>
    <mergeCell ref="Y2:AC2"/>
    <mergeCell ref="Z3:AA3"/>
    <mergeCell ref="K22:L22"/>
    <mergeCell ref="M22:N22"/>
    <mergeCell ref="C22:D22"/>
    <mergeCell ref="A2:F2"/>
    <mergeCell ref="G2:L2"/>
    <mergeCell ref="M2:R2"/>
    <mergeCell ref="S2:X2"/>
    <mergeCell ref="F22:G22"/>
    <mergeCell ref="B3:C3"/>
    <mergeCell ref="H3:I3"/>
    <mergeCell ref="N3:O3"/>
    <mergeCell ref="T3:U3"/>
    <mergeCell ref="I22:J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3E49-A901-4A63-BF1C-09E74C2490F8}">
  <sheetPr>
    <tabColor theme="7"/>
    <outlinePr summaryBelow="0"/>
    <pageSetUpPr fitToPage="1"/>
  </sheetPr>
  <dimension ref="A1:BA94"/>
  <sheetViews>
    <sheetView showGridLines="0" showRowColHeaders="0" topLeftCell="A49" zoomScaleNormal="100" workbookViewId="0">
      <selection activeCell="C17" sqref="C17:F17"/>
    </sheetView>
  </sheetViews>
  <sheetFormatPr defaultColWidth="9.08984375" defaultRowHeight="14.5" outlineLevelRow="1" outlineLevelCol="1" x14ac:dyDescent="0.35"/>
  <cols>
    <col min="1" max="1" width="9.6328125" style="218" customWidth="1"/>
    <col min="2" max="2" width="24.08984375" style="218" customWidth="1"/>
    <col min="3" max="6" width="15.6328125" style="218" customWidth="1"/>
    <col min="7" max="7" width="2.08984375" style="218" customWidth="1"/>
    <col min="8" max="8" width="12.36328125" style="218" customWidth="1"/>
    <col min="9" max="10" width="8.36328125" style="218" customWidth="1"/>
    <col min="11" max="11" width="15.453125" style="218" customWidth="1"/>
    <col min="12" max="12" width="12.36328125" style="218" customWidth="1"/>
    <col min="13" max="13" width="15.6328125" style="218" customWidth="1"/>
    <col min="14" max="14" width="20.6328125" style="218" customWidth="1"/>
    <col min="15" max="15" width="3.6328125" style="218" customWidth="1"/>
    <col min="16" max="17" width="12.36328125" style="218" customWidth="1"/>
    <col min="18" max="18" width="8.54296875" style="218" customWidth="1"/>
    <col min="19" max="19" width="9.6328125" style="218" customWidth="1"/>
    <col min="20" max="24" width="8.54296875" style="218" customWidth="1"/>
    <col min="25" max="26" width="9.08984375" style="218" customWidth="1"/>
    <col min="27" max="27" width="23.36328125" style="218" hidden="1" customWidth="1" outlineLevel="1"/>
    <col min="28" max="28" width="9.08984375" style="218" hidden="1" customWidth="1" outlineLevel="1"/>
    <col min="29" max="29" width="11.08984375" style="218" hidden="1" customWidth="1" outlineLevel="1"/>
    <col min="30" max="30" width="12.90625" style="218" hidden="1" customWidth="1" outlineLevel="1"/>
    <col min="31" max="32" width="13.08984375" style="218" hidden="1" customWidth="1" outlineLevel="1"/>
    <col min="33" max="33" width="14.6328125" style="218" hidden="1" customWidth="1" outlineLevel="1"/>
    <col min="34" max="34" width="25.08984375" style="218" hidden="1" customWidth="1" outlineLevel="1"/>
    <col min="35" max="37" width="20" style="218" hidden="1" customWidth="1" outlineLevel="1"/>
    <col min="38" max="38" width="25.08984375" style="218" hidden="1" customWidth="1" outlineLevel="1"/>
    <col min="39" max="39" width="11" style="218" hidden="1" customWidth="1" outlineLevel="1"/>
    <col min="40" max="40" width="20.90625" style="218" hidden="1" customWidth="1" outlineLevel="1"/>
    <col min="41" max="41" width="25.08984375" style="222" hidden="1" customWidth="1" outlineLevel="1"/>
    <col min="42" max="42" width="28.54296875" style="218" hidden="1" customWidth="1" outlineLevel="1"/>
    <col min="43" max="43" width="18.90625" style="222" hidden="1" customWidth="1" outlineLevel="1"/>
    <col min="44" max="44" width="21.6328125" style="222" hidden="1" customWidth="1" outlineLevel="1"/>
    <col min="45" max="45" width="9.08984375" style="218" hidden="1" customWidth="1" outlineLevel="1"/>
    <col min="46" max="46" width="12.90625" style="218" hidden="1" customWidth="1" outlineLevel="1"/>
    <col min="47" max="47" width="14" style="218" hidden="1" customWidth="1" outlineLevel="1"/>
    <col min="48" max="48" width="15.6328125" style="218" hidden="1" customWidth="1" outlineLevel="1"/>
    <col min="49" max="49" width="9.08984375" style="218" hidden="1" customWidth="1" outlineLevel="1"/>
    <col min="50" max="50" width="17.453125" style="218" hidden="1" customWidth="1" outlineLevel="1"/>
    <col min="51" max="52" width="9.08984375" style="218" hidden="1" customWidth="1" outlineLevel="1"/>
    <col min="53" max="53" width="9.08984375" style="218" collapsed="1"/>
    <col min="54" max="16384" width="9.08984375" style="218"/>
  </cols>
  <sheetData>
    <row r="1" spans="1:47" ht="72.650000000000006" customHeight="1" x14ac:dyDescent="0.35">
      <c r="A1" s="526" t="str">
        <f>CONCATENATE("Auckland Network Operating Plan Assessment - ",C17)</f>
        <v>Auckland Network Operating Plan Assessment - A hypothetical example project</v>
      </c>
      <c r="B1" s="526"/>
      <c r="C1" s="526"/>
      <c r="D1" s="526"/>
      <c r="E1" s="526"/>
      <c r="F1" s="526"/>
      <c r="G1" s="526"/>
      <c r="H1" s="526"/>
      <c r="I1" s="526"/>
      <c r="J1" s="526"/>
      <c r="K1" s="526"/>
      <c r="L1" s="526"/>
      <c r="M1" s="526"/>
      <c r="N1" s="527" t="e" vm="1">
        <v>#VALUE!</v>
      </c>
      <c r="O1" s="527"/>
      <c r="Q1" s="219"/>
      <c r="Z1" s="220"/>
      <c r="AA1" s="220"/>
      <c r="AB1" s="220"/>
      <c r="AC1" s="220"/>
      <c r="AD1" s="220"/>
      <c r="AE1" s="220"/>
      <c r="AF1" s="220"/>
      <c r="AG1" s="220"/>
      <c r="AH1" s="220"/>
      <c r="AI1" s="220"/>
      <c r="AJ1" s="220"/>
      <c r="AK1" s="220"/>
      <c r="AL1" s="220"/>
      <c r="AM1" s="220"/>
      <c r="AN1" s="220"/>
      <c r="AO1" s="221"/>
      <c r="AP1" s="220"/>
      <c r="AS1" s="220"/>
      <c r="AT1" s="220"/>
      <c r="AU1" s="220"/>
    </row>
    <row r="2" spans="1:47" s="225" customFormat="1" ht="10.5" x14ac:dyDescent="0.25">
      <c r="A2" s="223"/>
      <c r="B2" s="223"/>
      <c r="C2" s="223"/>
      <c r="D2" s="223"/>
      <c r="E2" s="223"/>
      <c r="F2" s="223"/>
      <c r="G2" s="223"/>
      <c r="H2" s="223"/>
      <c r="I2" s="223"/>
      <c r="J2" s="223"/>
      <c r="K2" s="223"/>
      <c r="L2" s="223"/>
      <c r="M2" s="223"/>
      <c r="N2" s="224"/>
      <c r="O2" s="224"/>
      <c r="Q2" s="226"/>
      <c r="Z2" s="227"/>
      <c r="AA2" s="227"/>
      <c r="AB2" s="227"/>
      <c r="AC2" s="227"/>
      <c r="AD2" s="227"/>
      <c r="AE2" s="227"/>
      <c r="AF2" s="227"/>
      <c r="AG2" s="227"/>
      <c r="AH2" s="227"/>
      <c r="AI2" s="227"/>
      <c r="AJ2" s="227"/>
      <c r="AK2" s="227"/>
      <c r="AL2" s="227"/>
      <c r="AM2" s="227"/>
      <c r="AN2" s="227"/>
      <c r="AO2" s="228"/>
      <c r="AP2" s="227"/>
      <c r="AQ2" s="224"/>
      <c r="AR2" s="224"/>
      <c r="AS2" s="227"/>
      <c r="AT2" s="227"/>
      <c r="AU2" s="227"/>
    </row>
    <row r="3" spans="1:47" ht="26" x14ac:dyDescent="0.35">
      <c r="A3" s="370" t="s">
        <v>0</v>
      </c>
      <c r="B3" s="371"/>
      <c r="C3" s="371"/>
      <c r="D3" s="371"/>
      <c r="E3" s="371"/>
      <c r="F3" s="371"/>
      <c r="G3" s="371"/>
      <c r="H3" s="371"/>
      <c r="I3" s="371"/>
      <c r="J3" s="371"/>
      <c r="K3" s="371"/>
      <c r="L3" s="371"/>
      <c r="M3" s="371"/>
      <c r="N3" s="229"/>
      <c r="O3" s="230"/>
      <c r="Q3" s="219"/>
      <c r="Z3" s="220"/>
      <c r="AA3" s="220"/>
      <c r="AB3" s="220"/>
      <c r="AC3" s="220"/>
      <c r="AD3" s="220"/>
      <c r="AE3" s="220"/>
      <c r="AF3" s="220"/>
      <c r="AG3" s="220"/>
      <c r="AH3" s="220"/>
      <c r="AI3" s="220"/>
      <c r="AJ3" s="220"/>
      <c r="AK3" s="220"/>
      <c r="AL3" s="220"/>
      <c r="AM3" s="220"/>
      <c r="AN3" s="220"/>
      <c r="AO3" s="221"/>
      <c r="AP3" s="220"/>
      <c r="AS3" s="220"/>
      <c r="AT3" s="220"/>
      <c r="AU3" s="220"/>
    </row>
    <row r="4" spans="1:47" ht="35" customHeight="1" x14ac:dyDescent="0.35">
      <c r="A4" s="346" t="s">
        <v>361</v>
      </c>
      <c r="B4" s="347"/>
      <c r="C4" s="347"/>
      <c r="D4" s="347"/>
      <c r="E4" s="347"/>
      <c r="F4" s="347"/>
      <c r="G4" s="347"/>
      <c r="H4" s="347"/>
      <c r="I4" s="347"/>
      <c r="J4" s="347"/>
      <c r="K4" s="347"/>
      <c r="L4" s="347"/>
      <c r="M4" s="347"/>
      <c r="N4" s="347"/>
      <c r="O4" s="348"/>
      <c r="Q4" s="219"/>
      <c r="Z4" s="220"/>
      <c r="AA4" s="220"/>
      <c r="AB4" s="220"/>
      <c r="AC4" s="220"/>
      <c r="AD4" s="220"/>
      <c r="AE4" s="220"/>
      <c r="AF4" s="220"/>
      <c r="AG4" s="220"/>
      <c r="AH4" s="220"/>
      <c r="AI4" s="220"/>
      <c r="AJ4" s="220"/>
      <c r="AK4" s="220"/>
      <c r="AL4" s="220"/>
      <c r="AM4" s="220"/>
      <c r="AN4" s="220"/>
      <c r="AO4" s="221"/>
      <c r="AP4" s="220"/>
      <c r="AS4" s="220"/>
      <c r="AT4" s="220"/>
      <c r="AU4" s="220"/>
    </row>
    <row r="5" spans="1:47" ht="26" hidden="1" x14ac:dyDescent="0.35">
      <c r="A5" s="376" t="s">
        <v>362</v>
      </c>
      <c r="B5" s="377"/>
      <c r="C5" s="377"/>
      <c r="D5" s="377"/>
      <c r="E5" s="377"/>
      <c r="F5" s="377"/>
      <c r="G5" s="377"/>
      <c r="H5" s="377"/>
      <c r="I5" s="377"/>
      <c r="J5" s="377"/>
      <c r="K5" s="377"/>
      <c r="L5" s="377"/>
      <c r="M5" s="377"/>
      <c r="N5" s="217"/>
      <c r="O5" s="233"/>
      <c r="Q5" s="219"/>
      <c r="Z5" s="220"/>
      <c r="AA5" s="220"/>
      <c r="AB5" s="220"/>
      <c r="AC5" s="220"/>
      <c r="AD5" s="220"/>
      <c r="AE5" s="220"/>
      <c r="AF5" s="220"/>
      <c r="AG5" s="220"/>
      <c r="AH5" s="220"/>
      <c r="AI5" s="220"/>
      <c r="AJ5" s="220"/>
      <c r="AK5" s="220"/>
      <c r="AL5" s="220"/>
      <c r="AM5" s="220"/>
      <c r="AN5" s="220"/>
      <c r="AO5" s="221"/>
      <c r="AP5" s="220"/>
      <c r="AS5" s="220"/>
      <c r="AT5" s="220"/>
      <c r="AU5" s="220"/>
    </row>
    <row r="6" spans="1:47" ht="24.75" hidden="1" customHeight="1" x14ac:dyDescent="0.35">
      <c r="A6" s="372" t="s">
        <v>1</v>
      </c>
      <c r="B6" s="373"/>
      <c r="C6" s="373"/>
      <c r="D6" s="373"/>
      <c r="E6" s="373"/>
      <c r="F6" s="373"/>
      <c r="G6" s="405" t="s">
        <v>2</v>
      </c>
      <c r="H6" s="406"/>
      <c r="I6" s="406"/>
      <c r="J6" s="406"/>
      <c r="K6" s="407"/>
      <c r="L6" s="220"/>
      <c r="M6" s="232"/>
      <c r="N6" s="217"/>
      <c r="O6" s="233"/>
      <c r="Q6" s="219"/>
      <c r="Z6" s="220"/>
      <c r="AA6" s="220"/>
      <c r="AB6" s="220"/>
      <c r="AC6" s="220"/>
      <c r="AD6" s="220"/>
      <c r="AE6" s="220"/>
      <c r="AF6" s="220"/>
      <c r="AG6" s="220"/>
      <c r="AH6" s="220"/>
      <c r="AI6" s="220"/>
      <c r="AJ6" s="220"/>
      <c r="AK6" s="220"/>
      <c r="AL6" s="220"/>
      <c r="AM6" s="220"/>
      <c r="AN6" s="220"/>
      <c r="AO6" s="221"/>
      <c r="AP6" s="220"/>
      <c r="AS6" s="220"/>
      <c r="AT6" s="220"/>
      <c r="AU6" s="220"/>
    </row>
    <row r="7" spans="1:47" ht="24.75" hidden="1" customHeight="1" x14ac:dyDescent="0.35">
      <c r="A7" s="346" t="s">
        <v>3</v>
      </c>
      <c r="B7" s="347"/>
      <c r="C7" s="347"/>
      <c r="D7" s="347"/>
      <c r="E7" s="347"/>
      <c r="F7" s="347"/>
      <c r="G7" s="347"/>
      <c r="H7" s="347"/>
      <c r="I7" s="347"/>
      <c r="J7" s="347"/>
      <c r="K7" s="347"/>
      <c r="L7" s="347"/>
      <c r="M7" s="347"/>
      <c r="N7" s="347"/>
      <c r="O7" s="348"/>
      <c r="Q7" s="219"/>
      <c r="Z7" s="220"/>
      <c r="AA7" s="220"/>
      <c r="AB7" s="220"/>
      <c r="AC7" s="220"/>
      <c r="AD7" s="220"/>
      <c r="AE7" s="220"/>
      <c r="AF7" s="220"/>
      <c r="AG7" s="220"/>
      <c r="AH7" s="220"/>
      <c r="AI7" s="220"/>
      <c r="AJ7" s="220"/>
      <c r="AK7" s="220"/>
      <c r="AL7" s="220"/>
      <c r="AM7" s="220"/>
      <c r="AN7" s="220"/>
      <c r="AO7" s="221"/>
      <c r="AP7" s="220"/>
      <c r="AS7" s="220"/>
      <c r="AT7" s="220"/>
      <c r="AU7" s="220"/>
    </row>
    <row r="8" spans="1:47" ht="42.75" hidden="1" customHeight="1" x14ac:dyDescent="0.35">
      <c r="A8" s="346" t="s">
        <v>4</v>
      </c>
      <c r="B8" s="347"/>
      <c r="C8" s="347"/>
      <c r="D8" s="347"/>
      <c r="E8" s="347"/>
      <c r="F8" s="347"/>
      <c r="G8" s="347"/>
      <c r="H8" s="347"/>
      <c r="I8" s="347"/>
      <c r="J8" s="347"/>
      <c r="K8" s="347"/>
      <c r="L8" s="347"/>
      <c r="M8" s="347"/>
      <c r="N8" s="528" t="s">
        <v>5</v>
      </c>
      <c r="O8" s="529"/>
      <c r="Q8" s="298"/>
      <c r="Z8" s="220"/>
      <c r="AA8" s="220"/>
      <c r="AB8" s="220"/>
      <c r="AC8" s="220"/>
      <c r="AD8" s="220"/>
      <c r="AE8" s="220"/>
      <c r="AF8" s="220"/>
      <c r="AG8" s="220"/>
      <c r="AH8" s="220"/>
      <c r="AI8" s="220"/>
      <c r="AJ8" s="220"/>
      <c r="AK8" s="220"/>
      <c r="AL8" s="220"/>
      <c r="AM8" s="220"/>
      <c r="AN8" s="220"/>
      <c r="AO8" s="221"/>
      <c r="AP8" s="220"/>
      <c r="AS8" s="220"/>
      <c r="AT8" s="220"/>
      <c r="AU8" s="220"/>
    </row>
    <row r="9" spans="1:47" ht="42.75" hidden="1" customHeight="1" x14ac:dyDescent="0.35">
      <c r="A9" s="346" t="s">
        <v>6</v>
      </c>
      <c r="B9" s="347"/>
      <c r="C9" s="347"/>
      <c r="D9" s="347"/>
      <c r="E9" s="347"/>
      <c r="F9" s="347"/>
      <c r="G9" s="347"/>
      <c r="H9" s="347"/>
      <c r="I9" s="347"/>
      <c r="J9" s="347"/>
      <c r="K9" s="347"/>
      <c r="L9" s="347"/>
      <c r="M9" s="347"/>
      <c r="N9" s="528" t="s">
        <v>7</v>
      </c>
      <c r="O9" s="529"/>
      <c r="Q9" s="219"/>
      <c r="Z9" s="220"/>
      <c r="AA9" s="220"/>
      <c r="AB9" s="220"/>
      <c r="AC9" s="220"/>
      <c r="AD9" s="220"/>
      <c r="AE9" s="220"/>
      <c r="AF9" s="220"/>
      <c r="AG9" s="220"/>
      <c r="AH9" s="220"/>
      <c r="AI9" s="220"/>
      <c r="AJ9" s="220"/>
      <c r="AK9" s="220"/>
      <c r="AL9" s="220"/>
      <c r="AM9" s="220"/>
      <c r="AN9" s="220"/>
      <c r="AO9" s="221"/>
      <c r="AP9" s="220"/>
      <c r="AS9" s="220"/>
      <c r="AT9" s="220"/>
      <c r="AU9" s="220"/>
    </row>
    <row r="10" spans="1:47" ht="24.9" hidden="1" customHeight="1" x14ac:dyDescent="0.35">
      <c r="A10" s="346" t="s">
        <v>8</v>
      </c>
      <c r="B10" s="347"/>
      <c r="C10" s="347"/>
      <c r="D10" s="347"/>
      <c r="E10" s="347"/>
      <c r="F10" s="347"/>
      <c r="G10" s="347"/>
      <c r="H10" s="347"/>
      <c r="I10" s="347"/>
      <c r="J10" s="347"/>
      <c r="K10" s="347"/>
      <c r="L10" s="347"/>
      <c r="M10" s="347"/>
      <c r="N10" s="347"/>
      <c r="O10" s="348"/>
      <c r="Q10" s="219"/>
      <c r="Z10" s="220"/>
      <c r="AA10" s="220"/>
      <c r="AB10" s="220"/>
      <c r="AC10" s="220"/>
      <c r="AD10" s="220"/>
      <c r="AE10" s="220"/>
      <c r="AF10" s="220"/>
      <c r="AG10" s="220"/>
      <c r="AH10" s="220"/>
      <c r="AI10" s="220"/>
      <c r="AJ10" s="220"/>
      <c r="AK10" s="220"/>
      <c r="AL10" s="220"/>
      <c r="AM10" s="220"/>
      <c r="AN10" s="220"/>
      <c r="AO10" s="221"/>
      <c r="AP10" s="220"/>
      <c r="AS10" s="220"/>
      <c r="AT10" s="220"/>
      <c r="AU10" s="220"/>
    </row>
    <row r="11" spans="1:47" ht="42.75" hidden="1" customHeight="1" x14ac:dyDescent="0.35">
      <c r="A11" s="346" t="s">
        <v>9</v>
      </c>
      <c r="B11" s="347"/>
      <c r="C11" s="347"/>
      <c r="D11" s="347"/>
      <c r="E11" s="347"/>
      <c r="F11" s="347"/>
      <c r="G11" s="347"/>
      <c r="H11" s="347"/>
      <c r="I11" s="347"/>
      <c r="J11" s="347"/>
      <c r="K11" s="347"/>
      <c r="L11" s="347"/>
      <c r="M11" s="347"/>
      <c r="N11" s="347"/>
      <c r="O11" s="348"/>
      <c r="Q11" s="219"/>
      <c r="Z11" s="220"/>
      <c r="AA11" s="220"/>
      <c r="AB11" s="220"/>
      <c r="AC11" s="220"/>
      <c r="AD11" s="220"/>
      <c r="AE11" s="220"/>
      <c r="AF11" s="220"/>
      <c r="AG11" s="220"/>
      <c r="AH11" s="220"/>
      <c r="AI11" s="220"/>
      <c r="AJ11" s="220"/>
      <c r="AK11" s="220"/>
      <c r="AL11" s="220"/>
      <c r="AM11" s="220"/>
      <c r="AN11" s="220"/>
      <c r="AO11" s="221"/>
      <c r="AP11" s="220"/>
      <c r="AS11" s="220"/>
      <c r="AT11" s="220"/>
      <c r="AU11" s="220"/>
    </row>
    <row r="12" spans="1:47" ht="24.75" hidden="1" customHeight="1" x14ac:dyDescent="0.35">
      <c r="A12" s="346" t="s">
        <v>10</v>
      </c>
      <c r="B12" s="347"/>
      <c r="C12" s="347"/>
      <c r="D12" s="347"/>
      <c r="E12" s="347"/>
      <c r="F12" s="347"/>
      <c r="G12" s="347"/>
      <c r="H12" s="347"/>
      <c r="I12" s="347"/>
      <c r="J12" s="347"/>
      <c r="K12" s="347"/>
      <c r="L12" s="347"/>
      <c r="M12" s="347"/>
      <c r="N12" s="347"/>
      <c r="O12" s="348"/>
      <c r="Q12" s="219"/>
      <c r="Z12" s="220"/>
      <c r="AA12" s="220"/>
      <c r="AB12" s="220"/>
      <c r="AC12" s="218" t="s">
        <v>11</v>
      </c>
      <c r="AD12" s="220"/>
      <c r="AE12" s="220"/>
      <c r="AF12" s="220"/>
      <c r="AG12" s="220"/>
      <c r="AH12" s="220"/>
      <c r="AI12" s="220"/>
      <c r="AJ12" s="220"/>
      <c r="AK12" s="220"/>
      <c r="AL12" s="220"/>
      <c r="AM12" s="220"/>
      <c r="AN12" s="220"/>
      <c r="AO12" s="221"/>
      <c r="AP12" s="220"/>
      <c r="AS12" s="220"/>
      <c r="AT12" s="220"/>
      <c r="AU12" s="220"/>
    </row>
    <row r="13" spans="1:47" ht="24.75" hidden="1" customHeight="1" x14ac:dyDescent="0.35">
      <c r="A13" s="346" t="s">
        <v>363</v>
      </c>
      <c r="B13" s="347"/>
      <c r="C13" s="347"/>
      <c r="D13" s="347"/>
      <c r="E13" s="347"/>
      <c r="F13" s="347"/>
      <c r="G13" s="347"/>
      <c r="H13" s="347"/>
      <c r="I13" s="347"/>
      <c r="J13" s="347"/>
      <c r="K13" s="347"/>
      <c r="L13" s="347"/>
      <c r="M13" s="347"/>
      <c r="N13" s="347"/>
      <c r="O13" s="348"/>
      <c r="Q13" s="219"/>
      <c r="Z13" s="220"/>
      <c r="AA13" s="220"/>
      <c r="AB13" s="220"/>
      <c r="AD13" s="220"/>
      <c r="AE13" s="220"/>
      <c r="AF13" s="220"/>
      <c r="AG13" s="220"/>
      <c r="AH13" s="220"/>
      <c r="AI13" s="220"/>
      <c r="AJ13" s="220"/>
      <c r="AK13" s="220"/>
      <c r="AL13" s="220"/>
      <c r="AM13" s="220"/>
      <c r="AN13" s="220"/>
      <c r="AO13" s="221"/>
      <c r="AP13" s="220"/>
      <c r="AS13" s="220"/>
      <c r="AT13" s="220"/>
      <c r="AU13" s="220"/>
    </row>
    <row r="14" spans="1:47" ht="24.75" hidden="1" customHeight="1" x14ac:dyDescent="0.35">
      <c r="A14" s="343" t="s">
        <v>364</v>
      </c>
      <c r="B14" s="344"/>
      <c r="C14" s="344"/>
      <c r="D14" s="344"/>
      <c r="E14" s="344"/>
      <c r="F14" s="344"/>
      <c r="G14" s="344"/>
      <c r="H14" s="344"/>
      <c r="I14" s="344"/>
      <c r="J14" s="344"/>
      <c r="K14" s="344"/>
      <c r="L14" s="344"/>
      <c r="M14" s="344"/>
      <c r="N14" s="344"/>
      <c r="O14" s="345"/>
      <c r="Z14" s="220"/>
      <c r="AA14" s="220"/>
      <c r="AB14" s="220"/>
      <c r="AD14" s="220"/>
      <c r="AE14" s="220"/>
      <c r="AF14" s="220"/>
      <c r="AG14" s="220"/>
      <c r="AH14" s="220"/>
      <c r="AI14" s="220"/>
      <c r="AJ14" s="220"/>
      <c r="AK14" s="220"/>
      <c r="AL14" s="220"/>
      <c r="AM14" s="220"/>
      <c r="AN14" s="220"/>
      <c r="AO14" s="221"/>
      <c r="AP14" s="220"/>
      <c r="AS14" s="220"/>
      <c r="AT14" s="220"/>
      <c r="AU14" s="220"/>
    </row>
    <row r="15" spans="1:47" hidden="1" x14ac:dyDescent="0.35">
      <c r="Z15" s="220"/>
      <c r="AA15" s="220"/>
      <c r="AB15" s="220"/>
      <c r="AC15" s="235" t="s">
        <v>14</v>
      </c>
      <c r="AD15" s="220"/>
      <c r="AE15" s="220"/>
      <c r="AF15" s="220"/>
      <c r="AG15" s="220"/>
      <c r="AH15" s="220"/>
      <c r="AI15" s="220"/>
      <c r="AJ15" s="220"/>
      <c r="AK15" s="220"/>
      <c r="AL15" s="220"/>
      <c r="AM15" s="220"/>
      <c r="AN15" s="220"/>
      <c r="AO15" s="221"/>
      <c r="AP15" s="220"/>
      <c r="AS15" s="220"/>
      <c r="AT15" s="220"/>
      <c r="AU15" s="220"/>
    </row>
    <row r="16" spans="1:47" ht="16" x14ac:dyDescent="0.35">
      <c r="A16" s="236"/>
      <c r="B16" s="236"/>
      <c r="C16" s="236"/>
      <c r="D16" s="236"/>
      <c r="E16" s="236"/>
      <c r="F16" s="236"/>
      <c r="L16" s="220"/>
      <c r="Z16" s="220"/>
      <c r="AA16" s="220"/>
      <c r="AB16" s="220"/>
      <c r="AC16" s="235" t="s">
        <v>15</v>
      </c>
      <c r="AD16" s="220"/>
      <c r="AE16" s="220"/>
      <c r="AF16" s="220"/>
      <c r="AG16" s="220"/>
      <c r="AH16" s="220"/>
      <c r="AI16" s="220"/>
      <c r="AJ16" s="220"/>
      <c r="AK16" s="220"/>
      <c r="AL16" s="220"/>
      <c r="AM16" s="220"/>
      <c r="AN16" s="220"/>
      <c r="AO16" s="221"/>
      <c r="AP16" s="220"/>
      <c r="AS16" s="220"/>
      <c r="AT16" s="220"/>
      <c r="AU16" s="220"/>
    </row>
    <row r="17" spans="1:52" ht="16" x14ac:dyDescent="0.35">
      <c r="A17" s="237" t="s">
        <v>16</v>
      </c>
      <c r="B17" s="238" t="s">
        <v>17</v>
      </c>
      <c r="C17" s="522" t="s">
        <v>365</v>
      </c>
      <c r="D17" s="508"/>
      <c r="E17" s="508"/>
      <c r="F17" s="509"/>
      <c r="G17" s="220"/>
      <c r="L17" s="220"/>
      <c r="Z17" s="220"/>
      <c r="AA17" s="220"/>
      <c r="AB17" s="220"/>
      <c r="AC17" s="235" t="s">
        <v>18</v>
      </c>
      <c r="AD17" s="220"/>
      <c r="AE17" s="220"/>
      <c r="AF17" s="220"/>
      <c r="AG17" s="220"/>
      <c r="AH17" s="220"/>
      <c r="AI17" s="220"/>
      <c r="AJ17" s="220"/>
      <c r="AK17" s="220"/>
      <c r="AL17" s="220"/>
      <c r="AM17" s="220"/>
      <c r="AN17" s="220"/>
      <c r="AO17" s="221"/>
      <c r="AP17" s="220"/>
      <c r="AS17" s="220"/>
      <c r="AT17" s="220"/>
      <c r="AU17" s="220"/>
    </row>
    <row r="18" spans="1:52" ht="32" x14ac:dyDescent="0.35">
      <c r="A18" s="349" t="s">
        <v>19</v>
      </c>
      <c r="B18" s="297" t="s">
        <v>20</v>
      </c>
      <c r="C18" s="522" t="s">
        <v>366</v>
      </c>
      <c r="D18" s="508"/>
      <c r="E18" s="508"/>
      <c r="F18" s="509"/>
      <c r="G18" s="220"/>
      <c r="L18" s="220"/>
      <c r="Z18" s="220"/>
      <c r="AA18" s="220"/>
      <c r="AB18" s="220"/>
      <c r="AC18" s="235" t="s">
        <v>21</v>
      </c>
      <c r="AD18" s="220"/>
      <c r="AE18" s="220"/>
      <c r="AF18" s="220"/>
      <c r="AG18" s="220"/>
      <c r="AH18" s="220"/>
      <c r="AI18" s="220"/>
      <c r="AJ18" s="220"/>
      <c r="AK18" s="220"/>
      <c r="AL18" s="220"/>
      <c r="AM18" s="220"/>
      <c r="AN18" s="220"/>
      <c r="AO18" s="221"/>
      <c r="AP18" s="220"/>
      <c r="AS18" s="220"/>
      <c r="AT18" s="220"/>
      <c r="AU18" s="220"/>
    </row>
    <row r="19" spans="1:52" ht="16" x14ac:dyDescent="0.35">
      <c r="A19" s="349"/>
      <c r="B19" s="238" t="s">
        <v>22</v>
      </c>
      <c r="C19" s="522" t="s">
        <v>607</v>
      </c>
      <c r="D19" s="508"/>
      <c r="E19" s="508"/>
      <c r="F19" s="509"/>
      <c r="G19" s="220"/>
      <c r="L19" s="220"/>
      <c r="Z19" s="220"/>
      <c r="AA19" s="220"/>
      <c r="AB19" s="220"/>
      <c r="AC19" s="235" t="s">
        <v>23</v>
      </c>
      <c r="AD19" s="220"/>
      <c r="AE19" s="220"/>
      <c r="AF19" s="220"/>
      <c r="AG19" s="220"/>
      <c r="AH19" s="220"/>
      <c r="AI19" s="220"/>
      <c r="AJ19" s="220"/>
      <c r="AK19" s="220"/>
      <c r="AL19" s="220"/>
      <c r="AM19" s="220"/>
      <c r="AN19" s="220"/>
      <c r="AO19" s="221"/>
      <c r="AP19" s="220"/>
      <c r="AS19" s="220"/>
      <c r="AT19" s="220"/>
      <c r="AU19" s="220"/>
    </row>
    <row r="20" spans="1:52" ht="16" x14ac:dyDescent="0.35">
      <c r="A20" s="349"/>
      <c r="B20" s="238" t="s">
        <v>614</v>
      </c>
      <c r="C20" s="317" t="s">
        <v>615</v>
      </c>
      <c r="D20" s="318"/>
      <c r="E20" s="318"/>
      <c r="F20" s="319"/>
      <c r="G20" s="220"/>
      <c r="L20" s="220"/>
      <c r="Z20" s="220"/>
      <c r="AA20" s="220"/>
      <c r="AB20" s="220"/>
      <c r="AC20" s="235"/>
      <c r="AD20" s="220"/>
      <c r="AE20" s="220"/>
      <c r="AF20" s="220"/>
      <c r="AG20" s="220"/>
      <c r="AH20" s="220"/>
      <c r="AI20" s="220"/>
      <c r="AJ20" s="220"/>
      <c r="AK20" s="220"/>
      <c r="AL20" s="220"/>
      <c r="AM20" s="220"/>
      <c r="AN20" s="220"/>
      <c r="AO20" s="221"/>
      <c r="AP20" s="220"/>
      <c r="AS20" s="220"/>
      <c r="AT20" s="220"/>
      <c r="AU20" s="220"/>
    </row>
    <row r="21" spans="1:52" ht="16" x14ac:dyDescent="0.35">
      <c r="A21" s="349"/>
      <c r="B21" s="238" t="s">
        <v>24</v>
      </c>
      <c r="C21" s="523">
        <v>45713</v>
      </c>
      <c r="D21" s="524"/>
      <c r="E21" s="524"/>
      <c r="F21" s="525"/>
      <c r="G21" s="220"/>
      <c r="Z21" s="220"/>
      <c r="AA21" s="220"/>
      <c r="AB21" s="220"/>
      <c r="AC21" s="235"/>
      <c r="AD21" s="220"/>
      <c r="AE21" s="220"/>
      <c r="AF21" s="220"/>
      <c r="AG21" s="220"/>
      <c r="AH21" s="220"/>
      <c r="AI21" s="220"/>
      <c r="AJ21" s="220"/>
      <c r="AK21" s="220"/>
      <c r="AL21" s="220"/>
      <c r="AM21" s="220"/>
      <c r="AN21" s="220"/>
      <c r="AO21" s="221"/>
      <c r="AP21" s="220"/>
      <c r="AS21" s="220"/>
      <c r="AT21" s="220"/>
      <c r="AU21" s="220"/>
    </row>
    <row r="22" spans="1:52" ht="16" x14ac:dyDescent="0.35">
      <c r="A22" s="350"/>
      <c r="B22" s="238" t="s">
        <v>25</v>
      </c>
      <c r="C22" s="522" t="s">
        <v>26</v>
      </c>
      <c r="D22" s="508"/>
      <c r="E22" s="508"/>
      <c r="F22" s="509"/>
      <c r="G22" s="220"/>
      <c r="Z22" s="220"/>
      <c r="AA22" s="220"/>
      <c r="AB22" s="220"/>
      <c r="AC22" s="235" t="s">
        <v>27</v>
      </c>
      <c r="AD22" s="220"/>
      <c r="AE22" s="220"/>
      <c r="AF22" s="220"/>
      <c r="AG22" s="220"/>
      <c r="AH22" s="220"/>
      <c r="AI22" s="220"/>
      <c r="AJ22" s="220"/>
      <c r="AK22" s="220"/>
      <c r="AL22" s="220"/>
      <c r="AM22" s="220"/>
      <c r="AN22" s="220"/>
      <c r="AO22" s="221"/>
      <c r="AP22" s="220"/>
      <c r="AS22" s="220"/>
      <c r="AT22" s="220"/>
      <c r="AU22" s="220"/>
    </row>
    <row r="23" spans="1:52" ht="16" x14ac:dyDescent="0.35">
      <c r="A23" s="239"/>
      <c r="B23" s="236"/>
      <c r="C23" s="240"/>
      <c r="D23" s="240"/>
      <c r="E23" s="240"/>
      <c r="F23" s="240"/>
      <c r="Z23" s="220"/>
      <c r="AA23" s="220"/>
      <c r="AB23" s="220"/>
      <c r="AC23" s="235" t="s">
        <v>28</v>
      </c>
      <c r="AD23" s="220"/>
      <c r="AS23" s="220"/>
      <c r="AT23" s="220"/>
      <c r="AU23" s="220"/>
    </row>
    <row r="24" spans="1:52" ht="39" customHeight="1" x14ac:dyDescent="0.35">
      <c r="A24" s="241" t="s">
        <v>29</v>
      </c>
      <c r="B24" s="513" t="s">
        <v>603</v>
      </c>
      <c r="C24" s="514"/>
      <c r="D24" s="514"/>
      <c r="E24" s="514"/>
      <c r="F24" s="515"/>
      <c r="G24" s="242"/>
      <c r="H24" s="243"/>
      <c r="J24" s="220"/>
      <c r="K24" s="220"/>
      <c r="Z24" s="220"/>
      <c r="AA24" s="220"/>
      <c r="AB24" s="220"/>
      <c r="AC24" s="220"/>
      <c r="AD24" s="244" t="s">
        <v>367</v>
      </c>
      <c r="AE24" s="244" t="s">
        <v>368</v>
      </c>
      <c r="AF24" s="244" t="s">
        <v>369</v>
      </c>
      <c r="AG24" s="244" t="s">
        <v>33</v>
      </c>
      <c r="AH24" s="244" t="s">
        <v>370</v>
      </c>
      <c r="AI24" s="244" t="s">
        <v>371</v>
      </c>
      <c r="AJ24" s="244" t="s">
        <v>372</v>
      </c>
      <c r="AK24" s="244" t="s">
        <v>373</v>
      </c>
      <c r="AL24" s="245" t="s">
        <v>39</v>
      </c>
      <c r="AM24" s="244" t="s">
        <v>40</v>
      </c>
      <c r="AN24" s="244" t="s">
        <v>374</v>
      </c>
      <c r="AO24" s="244" t="s">
        <v>375</v>
      </c>
      <c r="AP24" s="244" t="s">
        <v>45</v>
      </c>
      <c r="AQ24" s="244" t="s">
        <v>46</v>
      </c>
      <c r="AR24" s="244"/>
      <c r="AS24" s="221"/>
      <c r="AT24" s="221"/>
      <c r="AU24" s="220"/>
      <c r="AX24" s="246" t="s">
        <v>49</v>
      </c>
      <c r="AY24" s="247"/>
      <c r="AZ24" s="248" t="str">
        <f>IF(SUM(AX25:AZ39)&gt;0,"Incomplete","Complete")</f>
        <v>Complete</v>
      </c>
    </row>
    <row r="25" spans="1:52" ht="16" x14ac:dyDescent="0.35">
      <c r="A25" s="336" t="s">
        <v>50</v>
      </c>
      <c r="B25" s="299" t="s">
        <v>51</v>
      </c>
      <c r="C25" s="516" t="s">
        <v>52</v>
      </c>
      <c r="D25" s="517"/>
      <c r="E25" s="517"/>
      <c r="F25" s="518"/>
      <c r="J25" s="220"/>
      <c r="K25" s="220"/>
      <c r="Z25" s="220"/>
      <c r="AA25" s="220"/>
      <c r="AB25" s="220"/>
      <c r="AC25" s="235" t="s">
        <v>53</v>
      </c>
      <c r="AD25" s="222" t="str">
        <f>_xlfn.XLOOKUP(C25,'Data validation'!Y4:Y7,'Data validation'!AB4:AB7)</f>
        <v>B</v>
      </c>
      <c r="AE25" s="222" t="str">
        <f>_xlfn.XLOOKUP(AF25,'Data validation'!$J$23:$J$30,'Data validation'!$I$23:$I$30)</f>
        <v>B</v>
      </c>
      <c r="AF25" s="222">
        <f>_xlfn.XLOOKUP(AD25,'Data validation'!$I$23:$I$30,'Data validation'!$J$23:$J$30)</f>
        <v>5</v>
      </c>
      <c r="AG25" s="222">
        <f>IF(C35="",0,_xlfn.XLOOKUP(C35,'Data validation'!$I$23:$I$30,'Data validation'!$J$23:$J$30,0))</f>
        <v>3</v>
      </c>
      <c r="AH25" s="222">
        <f>IF(AG25&lt;$AJ25,$AJ25-AG25,0)</f>
        <v>2</v>
      </c>
      <c r="AI25" s="222" t="str">
        <f>IF(OR(E35="",E35="Use ANOP"),AE25,E35)</f>
        <v>B</v>
      </c>
      <c r="AJ25" s="222">
        <f>_xlfn.XLOOKUP(AI25,'Data validation'!$I$24:$I$29,'Data validation'!$J$24:$J$29)</f>
        <v>5</v>
      </c>
      <c r="AK25" s="222">
        <f>IF(AJ25&gt;4,AJ25-2,IF(AJ25=1,1,AJ25-1))</f>
        <v>3</v>
      </c>
      <c r="AL25" s="222">
        <f>IF(LEN($F35)=1,_xlfn.XLOOKUP(F35,'Data validation'!$I$23:$I$30,'Data validation'!$J$23:$J$30),IF(F35="",0,_xlfn.XLOOKUP(F35,'Data validation'!$A$23:$A$28,'Data validation'!$B$23:$B$28,0))*2+AG25)</f>
        <v>4</v>
      </c>
      <c r="AM25" s="222">
        <f>IF(AL25&lt;0,0,IF(AL25&gt;6,6,AL25))</f>
        <v>4</v>
      </c>
      <c r="AN25" s="222">
        <f>IF(AM25&lt;$AJ25,$AJ25-AL25,0)</f>
        <v>1</v>
      </c>
      <c r="AO25" s="222">
        <f>AH25-AN25</f>
        <v>1</v>
      </c>
      <c r="AP25" s="222">
        <f>IF(AL25-AG25&gt;0,1,0)</f>
        <v>1</v>
      </c>
      <c r="AQ25" s="222">
        <f>IF(AL25-AG25&lt;0,1,0)</f>
        <v>0</v>
      </c>
      <c r="AS25" s="220"/>
      <c r="AT25" s="220"/>
      <c r="AU25" s="220"/>
      <c r="AX25" s="250">
        <f>IF(ISBLANK(C25),1,0)</f>
        <v>0</v>
      </c>
      <c r="AY25" s="222"/>
      <c r="AZ25" s="251"/>
    </row>
    <row r="26" spans="1:52" ht="16" x14ac:dyDescent="0.35">
      <c r="A26" s="336"/>
      <c r="B26" s="299" t="s">
        <v>54</v>
      </c>
      <c r="C26" s="516" t="s">
        <v>149</v>
      </c>
      <c r="D26" s="517"/>
      <c r="E26" s="517"/>
      <c r="F26" s="518"/>
      <c r="J26" s="220"/>
      <c r="K26" s="220"/>
      <c r="Z26" s="220"/>
      <c r="AA26" s="220"/>
      <c r="AB26" s="220"/>
      <c r="AC26" s="235" t="s">
        <v>56</v>
      </c>
      <c r="AD26" s="222" t="str">
        <f>_xlfn.XLOOKUP(C26,'Data validation'!A4:A10,'Data validation'!E4:E10)</f>
        <v>B</v>
      </c>
      <c r="AE26" s="222" t="str">
        <f>_xlfn.XLOOKUP(AF26,'Data validation'!$J$23:$J$30,'Data validation'!$I$23:$I$30)</f>
        <v>B</v>
      </c>
      <c r="AF26" s="222">
        <f>_xlfn.XLOOKUP(AD26,'Data validation'!$I$23:$I$30,'Data validation'!$J$23:$J$30)</f>
        <v>5</v>
      </c>
      <c r="AG26" s="222">
        <f>IF(C36="",0,_xlfn.XLOOKUP(C36,'Data validation'!$I$24:$I$30,'Data validation'!$J$24:$J$30,0))</f>
        <v>1</v>
      </c>
      <c r="AH26" s="222">
        <f>IF(AG26&lt;$AJ26,$AJ26-AG26,0)</f>
        <v>4</v>
      </c>
      <c r="AI26" s="222" t="str">
        <f t="shared" ref="AI26:AI29" si="0">IF(OR(E36="",E36="Use ANOP"),AE26,E36)</f>
        <v>B</v>
      </c>
      <c r="AJ26" s="222">
        <f>_xlfn.XLOOKUP(AI26,'Data validation'!$I$24:$I$29,'Data validation'!$J$24:$J$29)</f>
        <v>5</v>
      </c>
      <c r="AK26" s="222">
        <f t="shared" ref="AK26:AK29" si="1">IF(AJ26&gt;4,AJ26-2,IF(AJ26=1,1,AJ26-1))</f>
        <v>3</v>
      </c>
      <c r="AL26" s="222">
        <f>IF(LEN($F36)=1,_xlfn.XLOOKUP(F36,'Data validation'!$I$23:$I$30,'Data validation'!$J$23:$J$30),IF(F36="",0,_xlfn.XLOOKUP(F36,'Data validation'!$A$23:$A$28,'Data validation'!$B$23:$B$28,0))*2+AG26)</f>
        <v>1</v>
      </c>
      <c r="AM26" s="222">
        <f>IF(AL26&lt;0,0,IF(AL26&gt;6,6,AL26))</f>
        <v>1</v>
      </c>
      <c r="AN26" s="222">
        <f t="shared" ref="AN26:AN29" si="2">IF(AM26&lt;$AJ26,$AJ26-AL26,0)</f>
        <v>4</v>
      </c>
      <c r="AO26" s="222">
        <f>AH26-AN26</f>
        <v>0</v>
      </c>
      <c r="AP26" s="222">
        <f>IF(AL26-AG26&gt;0,1,0)</f>
        <v>0</v>
      </c>
      <c r="AQ26" s="222">
        <f>IF(AL26-AG26&lt;0,1,0)</f>
        <v>0</v>
      </c>
      <c r="AS26" s="220"/>
      <c r="AT26" s="220"/>
      <c r="AU26" s="220"/>
      <c r="AX26" s="250">
        <f t="shared" ref="AX26:AY39" si="3">IF(ISBLANK(C26),1,0)</f>
        <v>0</v>
      </c>
      <c r="AY26" s="222"/>
      <c r="AZ26" s="251"/>
    </row>
    <row r="27" spans="1:52" ht="15.65" customHeight="1" x14ac:dyDescent="0.35">
      <c r="A27" s="336"/>
      <c r="B27" s="299" t="s">
        <v>57</v>
      </c>
      <c r="C27" s="516" t="s">
        <v>158</v>
      </c>
      <c r="D27" s="517"/>
      <c r="E27" s="517"/>
      <c r="F27" s="518"/>
      <c r="J27" s="220"/>
      <c r="K27" s="220"/>
      <c r="Z27" s="220"/>
      <c r="AA27" s="220"/>
      <c r="AB27" s="220"/>
      <c r="AC27" s="235" t="s">
        <v>59</v>
      </c>
      <c r="AD27" s="222" t="str">
        <f>_xlfn.XLOOKUP(C27,'Data validation'!G4:G11,'Data validation'!K4:K11)</f>
        <v>B</v>
      </c>
      <c r="AE27" s="222" t="str">
        <f>_xlfn.XLOOKUP(AF27,'Data validation'!$J$23:$J$30,'Data validation'!$I$23:$I$30)</f>
        <v>B</v>
      </c>
      <c r="AF27" s="222">
        <f>_xlfn.XLOOKUP(AD27,'Data validation'!$I$23:$I$30,'Data validation'!$J$23:$J$30)</f>
        <v>5</v>
      </c>
      <c r="AG27" s="222">
        <f>IF(C37="",0,_xlfn.XLOOKUP(C37,'Data validation'!$I$24:$I$30,'Data validation'!$J$24:$J$30,0))</f>
        <v>2</v>
      </c>
      <c r="AH27" s="222">
        <f>IF(AG27&lt;$AJ27,$AJ27-AG27,0)</f>
        <v>3</v>
      </c>
      <c r="AI27" s="222" t="str">
        <f t="shared" si="0"/>
        <v>B</v>
      </c>
      <c r="AJ27" s="222">
        <f>_xlfn.XLOOKUP(AI27,'Data validation'!$I$24:$I$29,'Data validation'!$J$24:$J$29)</f>
        <v>5</v>
      </c>
      <c r="AK27" s="222">
        <f t="shared" si="1"/>
        <v>3</v>
      </c>
      <c r="AL27" s="222">
        <f>IF(LEN($F37)=1,_xlfn.XLOOKUP(F37,'Data validation'!$I$23:$I$30,'Data validation'!$J$23:$J$30),IF(F37="",0,_xlfn.XLOOKUP(F37,'Data validation'!$A$23:$A$28,'Data validation'!$B$23:$B$28,0))*2+AG27)</f>
        <v>3</v>
      </c>
      <c r="AM27" s="222">
        <f>IF(AL27&lt;0,0,IF(AL27&gt;6,6,AL27))</f>
        <v>3</v>
      </c>
      <c r="AN27" s="222">
        <f t="shared" si="2"/>
        <v>2</v>
      </c>
      <c r="AO27" s="222">
        <f>AH27-AN27</f>
        <v>1</v>
      </c>
      <c r="AP27" s="222">
        <f>IF(AL27-AG27&gt;0,1,0)</f>
        <v>1</v>
      </c>
      <c r="AQ27" s="222">
        <f>IF(AL27-AG27&lt;0,1,0)</f>
        <v>0</v>
      </c>
      <c r="AS27" s="220"/>
      <c r="AT27" s="220"/>
      <c r="AU27" s="220"/>
      <c r="AX27" s="250">
        <f t="shared" si="3"/>
        <v>0</v>
      </c>
      <c r="AY27" s="222"/>
      <c r="AZ27" s="251"/>
    </row>
    <row r="28" spans="1:52" ht="16" x14ac:dyDescent="0.35">
      <c r="A28" s="336"/>
      <c r="B28" s="299" t="s">
        <v>60</v>
      </c>
      <c r="C28" s="516" t="s">
        <v>167</v>
      </c>
      <c r="D28" s="517"/>
      <c r="E28" s="517"/>
      <c r="F28" s="518"/>
      <c r="J28" s="220"/>
      <c r="K28" s="220"/>
      <c r="Z28" s="220"/>
      <c r="AA28" s="220"/>
      <c r="AB28" s="220"/>
      <c r="AC28" s="235" t="s">
        <v>21</v>
      </c>
      <c r="AD28" s="222" t="str">
        <f>_xlfn.XLOOKUP(C28,'Data validation'!M4:M12,'Data validation'!Q4:Q12)</f>
        <v>C</v>
      </c>
      <c r="AE28" s="222" t="str">
        <f>_xlfn.XLOOKUP(AF28,'Data validation'!$J$23:$J$30,'Data validation'!$I$23:$I$30)</f>
        <v>E</v>
      </c>
      <c r="AF28" s="222">
        <f>IF($F$61="Yes",_xlfn.XLOOKUP(AD28,'Data validation'!$I$23:$I$30,'Data validation'!$J$23:$J$30),IF(_xlfn.XLOOKUP(AD28,'Data validation'!$I$23:$I$30,'Data validation'!$J$23:$J$30)+_xlfn.XLOOKUP($C$30,'Data validation'!$AD$4:$AD$15,'Data validation'!$AF$4:$AF$15)=0,1,_xlfn.XLOOKUP(AD28,'Data validation'!$I$23:$I$30,'Data validation'!$J$23:$J$30)+_xlfn.XLOOKUP($C$30,'Data validation'!$AD$4:$AD$15,'Data validation'!$AF$4:$AF$15)))</f>
        <v>2</v>
      </c>
      <c r="AG28" s="222">
        <f>IF(C38="",0,_xlfn.XLOOKUP(C38,'Data validation'!$I$24:$I$30,'Data validation'!$J$24:$J$30,0))</f>
        <v>5</v>
      </c>
      <c r="AH28" s="222">
        <f>IF(AG28&lt;$AJ28,$AJ28-AG28,0)</f>
        <v>0</v>
      </c>
      <c r="AI28" s="222" t="str">
        <f t="shared" si="0"/>
        <v>E</v>
      </c>
      <c r="AJ28" s="222">
        <f>_xlfn.XLOOKUP(AI28,'Data validation'!$I$24:$I$29,'Data validation'!$J$24:$J$29)</f>
        <v>2</v>
      </c>
      <c r="AK28" s="222">
        <f t="shared" si="1"/>
        <v>1</v>
      </c>
      <c r="AL28" s="222">
        <f>IF(LEN($F38)=1,_xlfn.XLOOKUP(F38,'Data validation'!$I$23:$I$30,'Data validation'!$J$23:$J$30),IF(F38="",0,_xlfn.XLOOKUP(F38,'Data validation'!$A$23:$A$28,'Data validation'!$B$23:$B$28,0))*2+AG28)</f>
        <v>5</v>
      </c>
      <c r="AM28" s="222">
        <f>IF(AL28&lt;0,0,IF(AL28&gt;6,6,AL28))</f>
        <v>5</v>
      </c>
      <c r="AN28" s="222">
        <f t="shared" si="2"/>
        <v>0</v>
      </c>
      <c r="AO28" s="222">
        <f>AH28-AN28</f>
        <v>0</v>
      </c>
      <c r="AP28" s="222">
        <f>IF(AL28-AG28&gt;0,1,0)</f>
        <v>0</v>
      </c>
      <c r="AQ28" s="222">
        <f>IF(AL28-AG28&lt;0,1,0)</f>
        <v>0</v>
      </c>
      <c r="AS28" s="220"/>
      <c r="AT28" s="220"/>
      <c r="AU28" s="220"/>
      <c r="AX28" s="250">
        <f t="shared" si="3"/>
        <v>0</v>
      </c>
      <c r="AY28" s="222"/>
      <c r="AZ28" s="251"/>
    </row>
    <row r="29" spans="1:52" ht="15.65" customHeight="1" x14ac:dyDescent="0.35">
      <c r="A29" s="336"/>
      <c r="B29" s="299" t="s">
        <v>62</v>
      </c>
      <c r="C29" s="516" t="s">
        <v>184</v>
      </c>
      <c r="D29" s="517"/>
      <c r="E29" s="517"/>
      <c r="F29" s="518"/>
      <c r="J29" s="220"/>
      <c r="K29" s="220"/>
      <c r="Z29" s="220"/>
      <c r="AA29" s="220"/>
      <c r="AB29" s="220"/>
      <c r="AC29" s="235" t="s">
        <v>64</v>
      </c>
      <c r="AD29" s="222" t="str">
        <f>_xlfn.XLOOKUP(C29,'Data validation'!S4:S9,'Data validation'!W4:W9)</f>
        <v>C</v>
      </c>
      <c r="AE29" s="222" t="str">
        <f>_xlfn.XLOOKUP(AF29,'Data validation'!$J$23:$J$30,'Data validation'!$I$23:$I$30)</f>
        <v>C</v>
      </c>
      <c r="AF29" s="222">
        <f>IF($F$61="Yes",_xlfn.XLOOKUP(AD29,'Data validation'!$I$23:$I$30,'Data validation'!$J$23:$J$30),IF(C29="Motorway",_xlfn.XLOOKUP(AD29,'Data validation'!$I$23:$I$30,'Data validation'!$J$23:$J$30),IF(_xlfn.XLOOKUP(AD29,'Data validation'!$I$23:$I$30,'Data validation'!$J$23:$J$30)+_xlfn.XLOOKUP($C$30,'Data validation'!$AD$4:$AD$15,'Data validation'!$AF$4:$AF$15)=0,1,_xlfn.XLOOKUP(AD29,'Data validation'!$I$23:$I$30,'Data validation'!$J$23:$J$30)+_xlfn.XLOOKUP($C$30,'Data validation'!$AD$4:$AD$15,'Data validation'!$AF$4:$AF$15))))</f>
        <v>4</v>
      </c>
      <c r="AG29" s="222">
        <f>IF(C39="",0,_xlfn.XLOOKUP(C39,'Data validation'!$I$24:$I$30,'Data validation'!$J$24:$J$30,0))</f>
        <v>5</v>
      </c>
      <c r="AH29" s="222">
        <f>IF(AG29&lt;$AJ29,$AJ29-AG29,0)</f>
        <v>0</v>
      </c>
      <c r="AI29" s="222" t="str">
        <f t="shared" si="0"/>
        <v>C</v>
      </c>
      <c r="AJ29" s="222">
        <f>_xlfn.XLOOKUP(AI29,'Data validation'!$I$24:$I$29,'Data validation'!$J$24:$J$29)</f>
        <v>4</v>
      </c>
      <c r="AK29" s="222">
        <f t="shared" si="1"/>
        <v>3</v>
      </c>
      <c r="AL29" s="222">
        <f>IF(LEN($F39)=1,_xlfn.XLOOKUP(F39,'Data validation'!$I$23:$I$30,'Data validation'!$J$23:$J$30),IF(F39="",0,_xlfn.XLOOKUP(F39,'Data validation'!$A$23:$A$28,'Data validation'!$B$23:$B$28,0))*2+AG29)</f>
        <v>5</v>
      </c>
      <c r="AM29" s="222">
        <f>IF(AL29&lt;0,0,IF(AL29&gt;6,6,AL29))</f>
        <v>5</v>
      </c>
      <c r="AN29" s="222">
        <f t="shared" si="2"/>
        <v>0</v>
      </c>
      <c r="AO29" s="222">
        <f>AH29-AN29</f>
        <v>0</v>
      </c>
      <c r="AP29" s="222">
        <f>IF(AL29-AG29&gt;0,1,0)</f>
        <v>0</v>
      </c>
      <c r="AQ29" s="222">
        <f>IF(AL29-AG29&lt;0,1,0)</f>
        <v>0</v>
      </c>
      <c r="AS29" s="220"/>
      <c r="AT29" s="220"/>
      <c r="AU29" s="220"/>
      <c r="AX29" s="250">
        <f t="shared" si="3"/>
        <v>0</v>
      </c>
      <c r="AY29" s="222"/>
      <c r="AZ29" s="251"/>
    </row>
    <row r="30" spans="1:52" ht="31.25" customHeight="1" x14ac:dyDescent="0.35">
      <c r="A30" s="351"/>
      <c r="B30" s="252" t="s">
        <v>65</v>
      </c>
      <c r="C30" s="519" t="s">
        <v>285</v>
      </c>
      <c r="D30" s="520"/>
      <c r="E30" s="520"/>
      <c r="F30" s="521"/>
      <c r="J30" s="220"/>
      <c r="K30" s="220"/>
      <c r="N30" s="220"/>
      <c r="Z30" s="220"/>
      <c r="AA30" s="220"/>
      <c r="AB30" s="220"/>
      <c r="AC30" s="235" t="s">
        <v>27</v>
      </c>
      <c r="AD30" s="222" t="e">
        <f>_xlfn.XLOOKUP(C30,'Data validation'!Y9:Y12,'Data validation'!AB9:AB12)</f>
        <v>#N/A</v>
      </c>
      <c r="AE30" s="222"/>
      <c r="AF30" s="222"/>
      <c r="AG30" s="222">
        <f>IF(C40="",0,_xlfn.XLOOKUP(C40,'Data validation'!$I$24:$I$30,'Data validation'!$J$24:$J$30,0))</f>
        <v>0</v>
      </c>
      <c r="AM30" s="222">
        <f>IF(F40="",0,_xlfn.XLOOKUP(F40,'Data validation'!$I$23:$I$30,'Data validation'!$J$23:$J$30,0))</f>
        <v>0</v>
      </c>
      <c r="AS30" s="220"/>
      <c r="AT30" s="220"/>
      <c r="AU30" s="220"/>
      <c r="AX30" s="250">
        <f t="shared" si="3"/>
        <v>0</v>
      </c>
      <c r="AY30" s="222"/>
      <c r="AZ30" s="251"/>
    </row>
    <row r="31" spans="1:52" ht="15" hidden="1" customHeight="1" x14ac:dyDescent="0.35">
      <c r="A31" s="253"/>
      <c r="B31" s="254" t="s">
        <v>27</v>
      </c>
      <c r="C31" s="364" t="s">
        <v>67</v>
      </c>
      <c r="D31" s="365"/>
      <c r="E31" s="365"/>
      <c r="F31" s="366"/>
      <c r="J31" s="220"/>
      <c r="K31" s="220"/>
      <c r="N31" s="220"/>
      <c r="Z31" s="220"/>
      <c r="AA31" s="220"/>
      <c r="AB31" s="220"/>
      <c r="AC31" s="235" t="s">
        <v>28</v>
      </c>
      <c r="AD31" s="222" t="e">
        <f>_xlfn.XLOOKUP(C31,'Data validation'!Y10:Y13,'Data validation'!AB10:AB13)</f>
        <v>#N/A</v>
      </c>
      <c r="AE31" s="222"/>
      <c r="AF31" s="222"/>
      <c r="AG31" s="222">
        <f>IF(C41="",0,_xlfn.XLOOKUP(C41,'Data validation'!$I$24:$I$30,'Data validation'!$J$24:$J$30,0))</f>
        <v>0</v>
      </c>
      <c r="AH31" s="222"/>
      <c r="AI31" s="222"/>
      <c r="AJ31" s="222"/>
      <c r="AK31" s="222"/>
      <c r="AL31" s="222"/>
      <c r="AM31" s="222">
        <f>IF(F41="",0,_xlfn.XLOOKUP(F41,'Data validation'!$I$23:$I$30,'Data validation'!$J$23:$J$30,0))</f>
        <v>0</v>
      </c>
      <c r="AS31" s="220"/>
      <c r="AT31" s="220"/>
      <c r="AU31" s="220"/>
      <c r="AX31" s="250">
        <f t="shared" si="3"/>
        <v>0</v>
      </c>
      <c r="AY31" s="222"/>
      <c r="AZ31" s="251"/>
    </row>
    <row r="32" spans="1:52" ht="15" hidden="1" customHeight="1" x14ac:dyDescent="0.35">
      <c r="A32" s="253"/>
      <c r="B32" s="254" t="s">
        <v>28</v>
      </c>
      <c r="C32" s="364" t="s">
        <v>67</v>
      </c>
      <c r="D32" s="365"/>
      <c r="E32" s="365"/>
      <c r="F32" s="366"/>
      <c r="J32" s="220"/>
      <c r="K32" s="220"/>
      <c r="N32" s="220"/>
      <c r="Z32" s="220"/>
      <c r="AA32" s="220"/>
      <c r="AB32" s="220"/>
      <c r="AC32" s="235" t="s">
        <v>68</v>
      </c>
      <c r="AD32" s="220"/>
      <c r="AF32" s="235"/>
      <c r="AG32" s="222"/>
      <c r="AH32" s="222"/>
      <c r="AI32" s="222"/>
      <c r="AJ32" s="222"/>
      <c r="AK32" s="222"/>
      <c r="AL32" s="222"/>
      <c r="AM32" s="221"/>
      <c r="AO32" s="255"/>
      <c r="AS32" s="220"/>
      <c r="AT32" s="220"/>
      <c r="AX32" s="250">
        <f t="shared" si="3"/>
        <v>0</v>
      </c>
      <c r="AY32" s="222"/>
      <c r="AZ32" s="251"/>
    </row>
    <row r="33" spans="1:52" ht="14.4" customHeight="1" x14ac:dyDescent="0.35">
      <c r="A33" s="236"/>
      <c r="B33" s="236"/>
      <c r="C33" s="236"/>
      <c r="D33" s="236"/>
      <c r="E33" s="236"/>
      <c r="F33" s="236"/>
      <c r="J33" s="220"/>
      <c r="Z33" s="220"/>
      <c r="AA33" s="220"/>
      <c r="AB33" s="220"/>
      <c r="AC33" s="256" t="s">
        <v>69</v>
      </c>
      <c r="AD33" s="257"/>
      <c r="AE33" s="219"/>
      <c r="AF33" s="219"/>
      <c r="AG33" s="219"/>
      <c r="AH33" s="255">
        <f>SUM(AH25:AH32)</f>
        <v>9</v>
      </c>
      <c r="AI33" s="255"/>
      <c r="AJ33" s="255"/>
      <c r="AK33" s="255"/>
      <c r="AL33" s="255"/>
      <c r="AM33" s="255"/>
      <c r="AN33" s="255">
        <f>SUM(AN25:AN32)</f>
        <v>7</v>
      </c>
      <c r="AO33" s="258">
        <f>SUM(AO25:AO32)</f>
        <v>2</v>
      </c>
      <c r="AP33" s="258">
        <f>SUM(AP25:AP32)</f>
        <v>2</v>
      </c>
      <c r="AQ33" s="258">
        <f>SUM(AQ25:AQ32)</f>
        <v>0</v>
      </c>
      <c r="AR33" s="220"/>
      <c r="AS33" s="220"/>
      <c r="AU33" s="383" t="s">
        <v>70</v>
      </c>
      <c r="AV33" s="383"/>
      <c r="AX33" s="250"/>
      <c r="AY33" s="222"/>
      <c r="AZ33" s="251"/>
    </row>
    <row r="34" spans="1:52" ht="48.65" customHeight="1" x14ac:dyDescent="0.35">
      <c r="A34" s="335" t="s">
        <v>71</v>
      </c>
      <c r="B34" s="259"/>
      <c r="C34" s="260" t="s">
        <v>376</v>
      </c>
      <c r="D34" s="261" t="s">
        <v>73</v>
      </c>
      <c r="E34" s="260" t="s">
        <v>377</v>
      </c>
      <c r="F34" s="260" t="s">
        <v>378</v>
      </c>
      <c r="G34" s="242"/>
      <c r="J34" s="220"/>
      <c r="L34" s="222"/>
      <c r="M34" s="222"/>
      <c r="Z34" s="220"/>
      <c r="AA34" s="220"/>
      <c r="AB34" s="220"/>
      <c r="AC34" s="220"/>
      <c r="AD34" s="220"/>
      <c r="AF34" s="220"/>
      <c r="AG34" s="220"/>
      <c r="AH34" s="220"/>
      <c r="AI34" s="220"/>
      <c r="AJ34" s="220"/>
      <c r="AK34" s="220"/>
      <c r="AL34" s="220"/>
      <c r="AM34" s="220"/>
      <c r="AN34" s="220"/>
      <c r="AO34" s="255">
        <f>MIN(AO25:AO29)</f>
        <v>0</v>
      </c>
      <c r="AP34" s="220"/>
      <c r="AQ34" s="220"/>
      <c r="AR34" s="220"/>
      <c r="AS34" s="220"/>
      <c r="AT34" s="218" t="s">
        <v>76</v>
      </c>
      <c r="AU34" s="218" t="s">
        <v>77</v>
      </c>
      <c r="AX34" s="250"/>
      <c r="AY34" s="222"/>
      <c r="AZ34" s="251"/>
    </row>
    <row r="35" spans="1:52" ht="15.75" customHeight="1" x14ac:dyDescent="0.35">
      <c r="A35" s="336"/>
      <c r="B35" s="262" t="s">
        <v>53</v>
      </c>
      <c r="C35" s="231" t="s">
        <v>83</v>
      </c>
      <c r="D35" s="264" t="str">
        <f>_xlfn.XLOOKUP(AE25,'Data validation'!$S$23:$S$28,'Data validation'!$T$23:$T$28)</f>
        <v>B (D)</v>
      </c>
      <c r="E35" s="231" t="s">
        <v>79</v>
      </c>
      <c r="F35" s="300" t="s">
        <v>144</v>
      </c>
      <c r="U35" s="220"/>
      <c r="V35" s="220"/>
      <c r="W35" s="220"/>
      <c r="X35" s="220"/>
      <c r="Y35" s="220"/>
      <c r="Z35" s="220"/>
      <c r="AA35" s="220"/>
      <c r="AB35" s="220"/>
      <c r="AC35" s="220"/>
      <c r="AD35" s="220"/>
      <c r="AF35" s="220"/>
      <c r="AG35" s="220"/>
      <c r="AH35" s="220"/>
      <c r="AI35" s="220"/>
      <c r="AJ35" s="220"/>
      <c r="AK35" s="220"/>
      <c r="AL35" s="220"/>
      <c r="AM35" s="220"/>
      <c r="AN35" s="220"/>
      <c r="AO35" s="220"/>
      <c r="AP35" s="220"/>
      <c r="AQ35" s="220"/>
      <c r="AR35" s="220"/>
      <c r="AS35" s="220"/>
      <c r="AT35" s="220">
        <f>IF(AM25-AG25&lt;0,AG25-AM25,0)</f>
        <v>0</v>
      </c>
      <c r="AU35" s="220">
        <f>IF(AM25-AG25&gt;0,AM25-AG25,0)</f>
        <v>1</v>
      </c>
      <c r="AX35" s="250">
        <f t="shared" si="3"/>
        <v>0</v>
      </c>
      <c r="AY35" s="222">
        <f t="shared" si="3"/>
        <v>0</v>
      </c>
      <c r="AZ35" s="251">
        <f t="shared" ref="AZ35:AZ39" si="4">IF(ISBLANK(F35),1,0)</f>
        <v>0</v>
      </c>
    </row>
    <row r="36" spans="1:52" ht="15.75" customHeight="1" x14ac:dyDescent="0.35">
      <c r="A36" s="336"/>
      <c r="B36" s="262" t="s">
        <v>56</v>
      </c>
      <c r="C36" s="231" t="s">
        <v>81</v>
      </c>
      <c r="D36" s="264" t="str">
        <f>_xlfn.XLOOKUP(AE26,'Data validation'!$S$23:$S$28,'Data validation'!$T$23:$T$28)</f>
        <v>B (D)</v>
      </c>
      <c r="E36" s="231" t="s">
        <v>79</v>
      </c>
      <c r="F36" s="300" t="s">
        <v>80</v>
      </c>
      <c r="U36" s="220"/>
      <c r="V36" s="220"/>
      <c r="W36" s="220"/>
      <c r="X36" s="220"/>
      <c r="Y36" s="220"/>
      <c r="Z36" s="220"/>
      <c r="AA36" s="220"/>
      <c r="AB36" s="220"/>
      <c r="AC36" s="220"/>
      <c r="AD36" s="220"/>
      <c r="AF36" s="220"/>
      <c r="AG36" s="220"/>
      <c r="AH36" s="220"/>
      <c r="AI36" s="220"/>
      <c r="AJ36" s="220"/>
      <c r="AK36" s="220"/>
      <c r="AL36" s="220"/>
      <c r="AM36" s="220"/>
      <c r="AN36" s="220"/>
      <c r="AO36" s="220"/>
      <c r="AP36" s="220"/>
      <c r="AQ36" s="220"/>
      <c r="AR36" s="220"/>
      <c r="AS36" s="220"/>
      <c r="AT36" s="220">
        <f>IF(AM26-AG26&lt;0,AG26-AM26,0)</f>
        <v>0</v>
      </c>
      <c r="AU36" s="220">
        <f>IF(AM26-AG26&gt;0,AM26-AG26,0)</f>
        <v>0</v>
      </c>
      <c r="AX36" s="250">
        <f t="shared" si="3"/>
        <v>0</v>
      </c>
      <c r="AY36" s="222">
        <f t="shared" si="3"/>
        <v>0</v>
      </c>
      <c r="AZ36" s="251">
        <f t="shared" si="4"/>
        <v>0</v>
      </c>
    </row>
    <row r="37" spans="1:52" ht="15.75" customHeight="1" x14ac:dyDescent="0.35">
      <c r="A37" s="336"/>
      <c r="B37" s="262" t="s">
        <v>59</v>
      </c>
      <c r="C37" s="231" t="s">
        <v>155</v>
      </c>
      <c r="D37" s="264" t="str">
        <f>_xlfn.XLOOKUP(AE27,'Data validation'!$S$23:$S$28,'Data validation'!$T$23:$T$28)</f>
        <v>B (D)</v>
      </c>
      <c r="E37" s="231" t="s">
        <v>79</v>
      </c>
      <c r="F37" s="300" t="s">
        <v>349</v>
      </c>
      <c r="H37" s="411" t="s">
        <v>379</v>
      </c>
      <c r="I37" s="411"/>
      <c r="J37" s="412" t="str">
        <f>IF(AZ24="Incomplete","The Fit Assessment Result will show here once all cells are filled out",_xlfn.XLOOKUP(AE60,'Data validation'!$D$23:$D$25,'Data validation'!$C$23:$C$25,""))</f>
        <v>High likelihood of supporting the intent of the Auckland Network Operating Plan (ANOP) and Future Connect</v>
      </c>
      <c r="K37" s="412"/>
      <c r="L37" s="412"/>
      <c r="M37" s="412"/>
      <c r="N37" s="412"/>
      <c r="O37" s="412"/>
      <c r="U37" s="220"/>
      <c r="V37" s="220"/>
      <c r="W37" s="220"/>
      <c r="X37" s="220"/>
      <c r="Y37" s="220"/>
      <c r="Z37" s="220"/>
      <c r="AA37" s="220"/>
      <c r="AB37" s="220"/>
      <c r="AC37" s="220"/>
      <c r="AD37" s="220"/>
      <c r="AF37" s="220"/>
      <c r="AG37" s="220"/>
      <c r="AH37" s="220"/>
      <c r="AI37" s="220"/>
      <c r="AJ37" s="220"/>
      <c r="AK37" s="220"/>
      <c r="AL37" s="220"/>
      <c r="AM37" s="220"/>
      <c r="AN37" s="220"/>
      <c r="AO37" s="220"/>
      <c r="AP37" s="220"/>
      <c r="AQ37" s="220"/>
      <c r="AR37" s="220"/>
      <c r="AS37" s="220"/>
      <c r="AT37" s="220">
        <f>IF(AM27-AG27&lt;0,AG27-AM27,0)</f>
        <v>0</v>
      </c>
      <c r="AU37" s="220">
        <f>IF(AM27-AG27&gt;0,AM27-AG27,0)</f>
        <v>1</v>
      </c>
      <c r="AX37" s="250">
        <f t="shared" si="3"/>
        <v>0</v>
      </c>
      <c r="AY37" s="222">
        <f t="shared" si="3"/>
        <v>0</v>
      </c>
      <c r="AZ37" s="251">
        <f t="shared" si="4"/>
        <v>0</v>
      </c>
    </row>
    <row r="38" spans="1:52" ht="15.75" customHeight="1" x14ac:dyDescent="0.35">
      <c r="A38" s="336"/>
      <c r="B38" s="262" t="s">
        <v>21</v>
      </c>
      <c r="C38" s="231" t="s">
        <v>78</v>
      </c>
      <c r="D38" s="264" t="str">
        <f>_xlfn.XLOOKUP(AE28,'Data validation'!$S$23:$S$28,'Data validation'!$T$23:$T$28)</f>
        <v>E (F)</v>
      </c>
      <c r="E38" s="231" t="s">
        <v>79</v>
      </c>
      <c r="F38" s="300" t="s">
        <v>80</v>
      </c>
      <c r="H38" s="411"/>
      <c r="I38" s="411"/>
      <c r="J38" s="412"/>
      <c r="K38" s="412"/>
      <c r="L38" s="412"/>
      <c r="M38" s="412"/>
      <c r="N38" s="412"/>
      <c r="O38" s="412"/>
      <c r="Z38" s="220"/>
      <c r="AA38" s="220"/>
      <c r="AB38" s="220"/>
      <c r="AC38" s="220"/>
      <c r="AD38" s="220"/>
      <c r="AF38" s="220"/>
      <c r="AG38" s="220"/>
      <c r="AH38" s="220"/>
      <c r="AI38" s="220"/>
      <c r="AJ38" s="220"/>
      <c r="AK38" s="220"/>
      <c r="AL38" s="220"/>
      <c r="AM38" s="220"/>
      <c r="AN38" s="220"/>
      <c r="AO38" s="220"/>
      <c r="AP38" s="220"/>
      <c r="AQ38" s="220"/>
      <c r="AR38" s="220"/>
      <c r="AS38" s="220"/>
      <c r="AT38" s="220">
        <f>IF(AM28-AG28&lt;0,AG28-AM28,0)</f>
        <v>0</v>
      </c>
      <c r="AU38" s="220">
        <f>IF(AM28-AG28&gt;0,AM28-AG28,0)</f>
        <v>0</v>
      </c>
      <c r="AX38" s="250">
        <f t="shared" si="3"/>
        <v>0</v>
      </c>
      <c r="AY38" s="222">
        <f t="shared" si="3"/>
        <v>0</v>
      </c>
      <c r="AZ38" s="251">
        <f t="shared" si="4"/>
        <v>0</v>
      </c>
    </row>
    <row r="39" spans="1:52" ht="16" x14ac:dyDescent="0.35">
      <c r="A39" s="351"/>
      <c r="B39" s="262" t="s">
        <v>64</v>
      </c>
      <c r="C39" s="231" t="s">
        <v>78</v>
      </c>
      <c r="D39" s="264" t="str">
        <f>_xlfn.XLOOKUP(AE29,'Data validation'!$S$23:$S$28,'Data validation'!$T$23:$T$28)</f>
        <v>C (D)</v>
      </c>
      <c r="E39" s="231" t="s">
        <v>79</v>
      </c>
      <c r="F39" s="300" t="s">
        <v>80</v>
      </c>
      <c r="H39" s="411"/>
      <c r="I39" s="411"/>
      <c r="J39" s="412"/>
      <c r="K39" s="412"/>
      <c r="L39" s="412"/>
      <c r="M39" s="412"/>
      <c r="N39" s="412"/>
      <c r="O39" s="412"/>
      <c r="Z39" s="220"/>
      <c r="AA39" s="220"/>
      <c r="AB39" s="220"/>
      <c r="AC39" s="220"/>
      <c r="AD39" s="220"/>
      <c r="AF39" s="220"/>
      <c r="AG39" s="220"/>
      <c r="AH39" s="220"/>
      <c r="AI39" s="220"/>
      <c r="AJ39" s="220"/>
      <c r="AK39" s="220"/>
      <c r="AL39" s="220"/>
      <c r="AM39" s="220"/>
      <c r="AN39" s="220"/>
      <c r="AO39" s="220"/>
      <c r="AP39" s="220"/>
      <c r="AQ39" s="220"/>
      <c r="AR39" s="220"/>
      <c r="AS39" s="220"/>
      <c r="AT39" s="220">
        <f>IF(AM29-AG29&lt;0,AG29-AM29,0)</f>
        <v>0</v>
      </c>
      <c r="AU39" s="220">
        <f>IF(AM29-AG29&gt;0,AM29-AG29,0)</f>
        <v>0</v>
      </c>
      <c r="AX39" s="266">
        <f t="shared" si="3"/>
        <v>0</v>
      </c>
      <c r="AY39" s="267">
        <f t="shared" si="3"/>
        <v>0</v>
      </c>
      <c r="AZ39" s="268">
        <f t="shared" si="4"/>
        <v>0</v>
      </c>
    </row>
    <row r="40" spans="1:52" ht="15.75" hidden="1" customHeight="1" x14ac:dyDescent="0.35">
      <c r="A40" s="253"/>
      <c r="B40" s="269" t="s">
        <v>84</v>
      </c>
      <c r="C40" s="301"/>
      <c r="D40" s="301"/>
      <c r="E40" s="301"/>
      <c r="F40" s="301"/>
      <c r="H40" s="271"/>
      <c r="Z40" s="220"/>
      <c r="AA40" s="220"/>
      <c r="AB40" s="220"/>
      <c r="AC40" s="220"/>
      <c r="AD40" s="220"/>
      <c r="AF40" s="220"/>
      <c r="AG40" s="220"/>
      <c r="AH40" s="220"/>
      <c r="AI40" s="220"/>
      <c r="AJ40" s="220"/>
      <c r="AK40" s="220"/>
      <c r="AL40" s="220"/>
      <c r="AM40" s="220"/>
      <c r="AN40" s="220"/>
      <c r="AO40" s="220"/>
      <c r="AP40" s="220"/>
      <c r="AQ40" s="220"/>
      <c r="AR40" s="220"/>
      <c r="AS40" s="220"/>
      <c r="AT40" s="272">
        <f t="shared" ref="AT40:AT41" si="5">IF(AS40-AG30&lt;0,AG30-AS40,0)</f>
        <v>0</v>
      </c>
      <c r="AU40" s="272">
        <f t="shared" ref="AU40:AU41" si="6">IF(AS40-AG30&gt;0,AS40-AG30,0)</f>
        <v>0</v>
      </c>
      <c r="AV40" s="273"/>
    </row>
    <row r="41" spans="1:52" ht="15.75" hidden="1" customHeight="1" x14ac:dyDescent="0.35">
      <c r="A41" s="253"/>
      <c r="B41" s="269" t="s">
        <v>85</v>
      </c>
      <c r="C41" s="301"/>
      <c r="D41" s="301"/>
      <c r="E41" s="301"/>
      <c r="F41" s="301"/>
      <c r="H41" s="271"/>
      <c r="Z41" s="220"/>
      <c r="AA41" s="220"/>
      <c r="AB41" s="220"/>
      <c r="AC41" s="220"/>
      <c r="AD41" s="220"/>
      <c r="AF41" s="220"/>
      <c r="AG41" s="220"/>
      <c r="AH41" s="220"/>
      <c r="AI41" s="220"/>
      <c r="AJ41" s="220"/>
      <c r="AK41" s="220"/>
      <c r="AL41" s="220"/>
      <c r="AM41" s="220"/>
      <c r="AN41" s="220"/>
      <c r="AO41" s="220"/>
      <c r="AP41" s="220"/>
      <c r="AQ41" s="220"/>
      <c r="AR41" s="220"/>
      <c r="AS41" s="220"/>
      <c r="AT41" s="272">
        <f t="shared" si="5"/>
        <v>0</v>
      </c>
      <c r="AU41" s="272">
        <f t="shared" si="6"/>
        <v>0</v>
      </c>
      <c r="AV41" s="273"/>
    </row>
    <row r="42" spans="1:52" hidden="1" x14ac:dyDescent="0.35">
      <c r="Z42" s="220"/>
      <c r="AA42" s="220"/>
      <c r="AB42" s="220"/>
      <c r="AC42" s="220"/>
      <c r="AD42" s="220"/>
      <c r="AF42" s="220"/>
      <c r="AG42" s="220"/>
      <c r="AH42" s="220"/>
      <c r="AI42" s="220"/>
      <c r="AJ42" s="220"/>
      <c r="AK42" s="220"/>
      <c r="AL42" s="220"/>
      <c r="AM42" s="220"/>
      <c r="AN42" s="220"/>
      <c r="AO42" s="220"/>
      <c r="AP42" s="220"/>
      <c r="AQ42" s="220"/>
      <c r="AR42" s="220"/>
      <c r="AS42" s="220"/>
      <c r="AT42" s="274"/>
      <c r="AU42" s="274"/>
      <c r="AV42" s="274"/>
      <c r="AW42" s="222"/>
      <c r="AX42" s="222"/>
      <c r="AY42" s="220"/>
      <c r="AZ42" s="220"/>
    </row>
    <row r="43" spans="1:52" x14ac:dyDescent="0.35">
      <c r="Z43" s="220"/>
      <c r="AA43" s="220"/>
      <c r="AB43" s="220"/>
      <c r="AC43" s="220"/>
      <c r="AD43" s="220"/>
      <c r="AF43" s="220"/>
      <c r="AG43" s="220"/>
      <c r="AH43" s="220"/>
      <c r="AI43" s="220"/>
      <c r="AJ43" s="220"/>
      <c r="AK43" s="220"/>
      <c r="AL43" s="220"/>
      <c r="AM43" s="220"/>
      <c r="AN43" s="220"/>
      <c r="AO43" s="220"/>
      <c r="AP43" s="220"/>
      <c r="AQ43" s="220"/>
      <c r="AR43" s="220"/>
      <c r="AS43" s="220"/>
      <c r="AU43" s="220"/>
      <c r="AV43" s="220"/>
      <c r="AW43" s="220"/>
    </row>
    <row r="44" spans="1:52" ht="48.65" customHeight="1" outlineLevel="1" x14ac:dyDescent="0.35">
      <c r="A44" s="352" t="s">
        <v>86</v>
      </c>
      <c r="B44" s="353"/>
      <c r="C44" s="294" t="s">
        <v>87</v>
      </c>
      <c r="D44" s="355" t="s">
        <v>88</v>
      </c>
      <c r="E44" s="356"/>
      <c r="F44" s="356"/>
      <c r="G44" s="356"/>
      <c r="H44" s="357"/>
      <c r="I44" s="385" t="s">
        <v>89</v>
      </c>
      <c r="J44" s="388"/>
      <c r="K44" s="355" t="s">
        <v>90</v>
      </c>
      <c r="L44" s="356"/>
      <c r="M44" s="356"/>
      <c r="N44" s="356"/>
      <c r="O44" s="357"/>
      <c r="Z44" s="220"/>
      <c r="AA44" s="220"/>
      <c r="AB44" s="220"/>
      <c r="AC44" s="220"/>
      <c r="AD44" s="220"/>
      <c r="AF44" s="220"/>
      <c r="AG44" s="220"/>
      <c r="AH44" s="220"/>
      <c r="AI44" s="220"/>
      <c r="AJ44" s="220"/>
      <c r="AK44" s="220"/>
      <c r="AL44" s="220"/>
      <c r="AM44" s="220"/>
      <c r="AN44" s="220"/>
      <c r="AO44" s="220"/>
      <c r="AP44" s="220"/>
      <c r="AQ44" s="220"/>
      <c r="AR44" s="220"/>
      <c r="AS44" s="220"/>
      <c r="AU44" s="220"/>
      <c r="AV44" s="220"/>
      <c r="AW44" s="220"/>
    </row>
    <row r="45" spans="1:52" ht="47.4" customHeight="1" outlineLevel="1" x14ac:dyDescent="0.35">
      <c r="A45" s="292"/>
      <c r="B45" s="295" t="s">
        <v>53</v>
      </c>
      <c r="C45" s="293" t="str">
        <f>C35</f>
        <v>D</v>
      </c>
      <c r="D45" s="510" t="s">
        <v>380</v>
      </c>
      <c r="E45" s="511"/>
      <c r="F45" s="511"/>
      <c r="G45" s="511"/>
      <c r="H45" s="512"/>
      <c r="I45" s="386" t="str">
        <f>F35</f>
        <v>C</v>
      </c>
      <c r="J45" s="387"/>
      <c r="K45" s="510" t="s">
        <v>381</v>
      </c>
      <c r="L45" s="511"/>
      <c r="M45" s="511"/>
      <c r="N45" s="511"/>
      <c r="O45" s="512"/>
      <c r="Z45" s="220"/>
      <c r="AA45" s="220"/>
      <c r="AB45" s="220"/>
      <c r="AC45" s="220"/>
      <c r="AD45" s="220"/>
      <c r="AF45" s="220"/>
      <c r="AG45" s="220"/>
      <c r="AH45" s="220"/>
      <c r="AI45" s="220"/>
      <c r="AJ45" s="220"/>
      <c r="AK45" s="220"/>
      <c r="AL45" s="220"/>
      <c r="AM45" s="220"/>
      <c r="AN45" s="220"/>
      <c r="AO45" s="220"/>
      <c r="AP45" s="220"/>
      <c r="AQ45" s="220"/>
      <c r="AR45" s="220"/>
      <c r="AS45" s="220"/>
      <c r="AU45" s="220"/>
      <c r="AV45" s="220"/>
      <c r="AW45" s="220"/>
    </row>
    <row r="46" spans="1:52" ht="30" customHeight="1" outlineLevel="1" x14ac:dyDescent="0.35">
      <c r="A46" s="292"/>
      <c r="B46" s="295" t="s">
        <v>91</v>
      </c>
      <c r="C46" s="293" t="str">
        <f>C36</f>
        <v>F</v>
      </c>
      <c r="D46" s="510" t="s">
        <v>382</v>
      </c>
      <c r="E46" s="511"/>
      <c r="F46" s="511"/>
      <c r="G46" s="511"/>
      <c r="H46" s="512"/>
      <c r="I46" s="386" t="str">
        <f t="shared" ref="I46:I49" si="7">F36</f>
        <v>Neutral</v>
      </c>
      <c r="J46" s="387"/>
      <c r="K46" s="510" t="s">
        <v>383</v>
      </c>
      <c r="L46" s="511"/>
      <c r="M46" s="511"/>
      <c r="N46" s="511"/>
      <c r="O46" s="512"/>
      <c r="Z46" s="220"/>
      <c r="AA46" s="220"/>
      <c r="AB46" s="220"/>
      <c r="AC46" s="220"/>
      <c r="AD46" s="220"/>
      <c r="AF46" s="220"/>
      <c r="AG46" s="220"/>
      <c r="AH46" s="220"/>
      <c r="AI46" s="220"/>
      <c r="AJ46" s="220"/>
      <c r="AK46" s="220"/>
      <c r="AL46" s="220"/>
      <c r="AM46" s="220"/>
      <c r="AN46" s="220"/>
      <c r="AO46" s="220"/>
      <c r="AP46" s="220"/>
      <c r="AQ46" s="220"/>
      <c r="AR46" s="220"/>
      <c r="AS46" s="220"/>
      <c r="AU46" s="220"/>
      <c r="AV46" s="220"/>
      <c r="AW46" s="220"/>
    </row>
    <row r="47" spans="1:52" ht="30" customHeight="1" outlineLevel="1" x14ac:dyDescent="0.35">
      <c r="A47" s="292"/>
      <c r="B47" s="295" t="s">
        <v>59</v>
      </c>
      <c r="C47" s="293" t="str">
        <f t="shared" ref="C47:C49" si="8">C37</f>
        <v>E</v>
      </c>
      <c r="D47" s="510" t="s">
        <v>384</v>
      </c>
      <c r="E47" s="511"/>
      <c r="F47" s="511"/>
      <c r="G47" s="511"/>
      <c r="H47" s="512"/>
      <c r="I47" s="386" t="str">
        <f t="shared" si="7"/>
        <v>Moderately positive</v>
      </c>
      <c r="J47" s="387"/>
      <c r="K47" s="510" t="s">
        <v>385</v>
      </c>
      <c r="L47" s="511"/>
      <c r="M47" s="511"/>
      <c r="N47" s="511"/>
      <c r="O47" s="512"/>
      <c r="Z47" s="220"/>
      <c r="AA47" s="220"/>
      <c r="AB47" s="220"/>
      <c r="AC47" s="220"/>
      <c r="AD47" s="220"/>
      <c r="AF47" s="220"/>
      <c r="AG47" s="220"/>
      <c r="AH47" s="220"/>
      <c r="AI47" s="220"/>
      <c r="AJ47" s="220"/>
      <c r="AK47" s="220"/>
      <c r="AL47" s="220"/>
      <c r="AM47" s="220"/>
      <c r="AN47" s="220"/>
      <c r="AO47" s="220"/>
      <c r="AP47" s="220"/>
      <c r="AQ47" s="220"/>
      <c r="AR47" s="220"/>
      <c r="AS47" s="220"/>
      <c r="AU47" s="220"/>
      <c r="AV47" s="220"/>
      <c r="AW47" s="220"/>
    </row>
    <row r="48" spans="1:52" ht="30" customHeight="1" outlineLevel="1" x14ac:dyDescent="0.35">
      <c r="A48" s="292"/>
      <c r="B48" s="295" t="s">
        <v>21</v>
      </c>
      <c r="C48" s="293" t="str">
        <f t="shared" si="8"/>
        <v>B</v>
      </c>
      <c r="D48" s="510" t="s">
        <v>384</v>
      </c>
      <c r="E48" s="511"/>
      <c r="F48" s="511"/>
      <c r="G48" s="511"/>
      <c r="H48" s="512"/>
      <c r="I48" s="386" t="str">
        <f t="shared" si="7"/>
        <v>Neutral</v>
      </c>
      <c r="J48" s="387"/>
      <c r="K48" s="510" t="s">
        <v>386</v>
      </c>
      <c r="L48" s="511"/>
      <c r="M48" s="511"/>
      <c r="N48" s="511"/>
      <c r="O48" s="512"/>
      <c r="Z48" s="220"/>
      <c r="AA48" s="220"/>
      <c r="AB48" s="220"/>
      <c r="AC48" s="220"/>
      <c r="AD48" s="220"/>
      <c r="AF48" s="220"/>
      <c r="AG48" s="220"/>
      <c r="AH48" s="220"/>
      <c r="AI48" s="220"/>
      <c r="AJ48" s="220"/>
      <c r="AK48" s="220"/>
      <c r="AL48" s="220"/>
      <c r="AM48" s="220"/>
      <c r="AN48" s="220"/>
      <c r="AO48" s="220"/>
      <c r="AP48" s="220"/>
      <c r="AQ48" s="220"/>
      <c r="AR48" s="220"/>
      <c r="AS48" s="220"/>
      <c r="AU48" s="220"/>
      <c r="AV48" s="220"/>
      <c r="AW48" s="220"/>
    </row>
    <row r="49" spans="1:49" ht="30" customHeight="1" outlineLevel="1" x14ac:dyDescent="0.35">
      <c r="A49" s="292"/>
      <c r="B49" s="295" t="s">
        <v>64</v>
      </c>
      <c r="C49" s="293" t="str">
        <f t="shared" si="8"/>
        <v>B</v>
      </c>
      <c r="D49" s="510" t="s">
        <v>384</v>
      </c>
      <c r="E49" s="511"/>
      <c r="F49" s="511"/>
      <c r="G49" s="511"/>
      <c r="H49" s="512"/>
      <c r="I49" s="386" t="str">
        <f t="shared" si="7"/>
        <v>Neutral</v>
      </c>
      <c r="J49" s="387"/>
      <c r="K49" s="510" t="s">
        <v>386</v>
      </c>
      <c r="L49" s="511"/>
      <c r="M49" s="511"/>
      <c r="N49" s="511"/>
      <c r="O49" s="512"/>
      <c r="Z49" s="220"/>
      <c r="AA49" s="220"/>
      <c r="AB49" s="220"/>
      <c r="AC49" s="220"/>
      <c r="AD49" s="220"/>
      <c r="AF49" s="220"/>
      <c r="AG49" s="220"/>
      <c r="AH49" s="220"/>
      <c r="AI49" s="220"/>
      <c r="AJ49" s="220"/>
      <c r="AK49" s="220"/>
      <c r="AL49" s="220"/>
      <c r="AM49" s="220"/>
      <c r="AN49" s="220"/>
      <c r="AO49" s="220"/>
      <c r="AP49" s="220"/>
      <c r="AQ49" s="220"/>
      <c r="AR49" s="220"/>
      <c r="AS49" s="220"/>
      <c r="AU49" s="220"/>
      <c r="AV49" s="220"/>
      <c r="AW49" s="220"/>
    </row>
    <row r="50" spans="1:49" ht="27" customHeight="1" outlineLevel="1" x14ac:dyDescent="0.35">
      <c r="A50" s="423" t="s">
        <v>92</v>
      </c>
      <c r="B50" s="424"/>
      <c r="C50" s="508"/>
      <c r="D50" s="508"/>
      <c r="E50" s="508"/>
      <c r="F50" s="508"/>
      <c r="G50" s="508"/>
      <c r="H50" s="508"/>
      <c r="I50" s="508"/>
      <c r="J50" s="508"/>
      <c r="K50" s="508"/>
      <c r="L50" s="508"/>
      <c r="M50" s="508"/>
      <c r="N50" s="508"/>
      <c r="O50" s="509"/>
      <c r="Z50" s="220"/>
      <c r="AA50" s="220"/>
      <c r="AB50" s="220"/>
      <c r="AC50" s="220"/>
      <c r="AD50" s="220"/>
      <c r="AF50" s="220"/>
      <c r="AG50" s="220"/>
      <c r="AH50" s="220"/>
      <c r="AI50" s="220"/>
      <c r="AJ50" s="220"/>
      <c r="AK50" s="220"/>
      <c r="AL50" s="220"/>
      <c r="AM50" s="220"/>
      <c r="AN50" s="220"/>
      <c r="AO50" s="220"/>
      <c r="AP50" s="220"/>
      <c r="AQ50" s="220"/>
      <c r="AR50" s="220"/>
      <c r="AS50" s="220"/>
      <c r="AU50" s="220"/>
      <c r="AV50" s="220"/>
      <c r="AW50" s="220"/>
    </row>
    <row r="51" spans="1:49" ht="36" customHeight="1" outlineLevel="1" x14ac:dyDescent="0.35">
      <c r="A51" s="423" t="s">
        <v>93</v>
      </c>
      <c r="B51" s="424"/>
      <c r="C51" s="508" t="s">
        <v>387</v>
      </c>
      <c r="D51" s="508"/>
      <c r="E51" s="508"/>
      <c r="F51" s="508"/>
      <c r="G51" s="508"/>
      <c r="H51" s="508"/>
      <c r="I51" s="508"/>
      <c r="J51" s="508"/>
      <c r="K51" s="508"/>
      <c r="L51" s="508"/>
      <c r="M51" s="508"/>
      <c r="N51" s="508"/>
      <c r="O51" s="509"/>
      <c r="Z51" s="220"/>
      <c r="AA51" s="220"/>
      <c r="AB51" s="220"/>
      <c r="AC51" s="220"/>
      <c r="AD51" s="220"/>
      <c r="AF51" s="220"/>
      <c r="AG51" s="220"/>
      <c r="AH51" s="220"/>
      <c r="AI51" s="220"/>
      <c r="AJ51" s="220"/>
      <c r="AK51" s="220"/>
      <c r="AL51" s="220"/>
      <c r="AM51" s="220"/>
      <c r="AN51" s="220"/>
      <c r="AO51" s="220"/>
      <c r="AP51" s="220"/>
      <c r="AQ51" s="220"/>
      <c r="AR51" s="220"/>
      <c r="AS51" s="220"/>
      <c r="AT51" s="221"/>
      <c r="AU51" s="220"/>
      <c r="AV51" s="220"/>
      <c r="AW51" s="220"/>
    </row>
    <row r="52" spans="1:49" outlineLevel="1" x14ac:dyDescent="0.35">
      <c r="Z52" s="220"/>
      <c r="AA52" s="220"/>
      <c r="AB52" s="220"/>
      <c r="AC52" s="220"/>
      <c r="AD52" s="220"/>
      <c r="AF52" s="220"/>
      <c r="AG52" s="220"/>
      <c r="AH52" s="220"/>
      <c r="AI52" s="220"/>
      <c r="AJ52" s="220"/>
      <c r="AK52" s="220"/>
      <c r="AL52" s="220"/>
      <c r="AM52" s="220"/>
      <c r="AN52" s="220"/>
      <c r="AO52" s="220"/>
      <c r="AP52" s="220"/>
      <c r="AQ52" s="220"/>
      <c r="AR52" s="220"/>
      <c r="AS52" s="220"/>
      <c r="AT52" s="220"/>
      <c r="AU52" s="220"/>
    </row>
    <row r="53" spans="1:49" ht="30" customHeight="1" thickBot="1" x14ac:dyDescent="0.4">
      <c r="A53" s="241" t="s">
        <v>94</v>
      </c>
      <c r="B53" s="384" t="s">
        <v>95</v>
      </c>
      <c r="C53" s="384"/>
      <c r="D53" s="385"/>
      <c r="E53" s="385"/>
      <c r="F53" s="385"/>
      <c r="G53" s="384" t="s">
        <v>96</v>
      </c>
      <c r="H53" s="384"/>
      <c r="I53" s="384"/>
      <c r="J53" s="384"/>
      <c r="K53" s="384"/>
      <c r="L53" s="384"/>
      <c r="M53" s="384"/>
      <c r="N53" s="384"/>
      <c r="O53" s="384"/>
      <c r="Z53" s="220"/>
      <c r="AA53" s="220"/>
      <c r="AB53" s="220"/>
      <c r="AC53" s="220"/>
      <c r="AD53" s="220"/>
      <c r="AF53" s="220"/>
      <c r="AG53" s="220"/>
      <c r="AH53" s="220"/>
      <c r="AI53" s="220"/>
      <c r="AJ53" s="220"/>
      <c r="AK53" s="220"/>
      <c r="AL53" s="220"/>
      <c r="AM53" s="220"/>
      <c r="AN53" s="220"/>
      <c r="AO53" s="220"/>
      <c r="AP53" s="220"/>
      <c r="AQ53" s="220"/>
      <c r="AR53" s="220"/>
      <c r="AS53" s="220"/>
      <c r="AT53" s="220"/>
      <c r="AU53" s="220"/>
      <c r="AV53" s="220"/>
    </row>
    <row r="54" spans="1:49" x14ac:dyDescent="0.35">
      <c r="A54" s="336" t="s">
        <v>97</v>
      </c>
      <c r="B54" s="326" t="str">
        <f>'Data validation'!C23</f>
        <v>High likelihood of supporting the intent of the Auckland Network Operating Plan (ANOP) and Future Connect</v>
      </c>
      <c r="C54" s="327"/>
      <c r="D54" s="327"/>
      <c r="E54" s="327"/>
      <c r="F54" s="327"/>
      <c r="G54" s="396" t="s">
        <v>98</v>
      </c>
      <c r="H54" s="397"/>
      <c r="I54" s="397"/>
      <c r="J54" s="397"/>
      <c r="K54" s="397"/>
      <c r="L54" s="397"/>
      <c r="M54" s="397"/>
      <c r="N54" s="275" t="s">
        <v>99</v>
      </c>
      <c r="O54" s="59" t="str">
        <f t="shared" ref="O54:O59" si="9">IF(AD54=1,"ü","û")</f>
        <v>ü</v>
      </c>
      <c r="Z54" s="220"/>
      <c r="AA54" s="220"/>
      <c r="AB54" s="220"/>
      <c r="AC54" s="391" t="s">
        <v>100</v>
      </c>
      <c r="AD54" s="276">
        <f>IF(AP33&gt;0,IF(AQ33=0,1,0),0)</f>
        <v>1</v>
      </c>
      <c r="AE54" s="277" t="str">
        <f>IF(AD54=1,"True","False")</f>
        <v>True</v>
      </c>
      <c r="AF54" s="220"/>
      <c r="AG54" s="220"/>
      <c r="AH54" s="220"/>
      <c r="AI54" s="220"/>
      <c r="AJ54" s="220"/>
      <c r="AK54" s="220"/>
      <c r="AL54" s="220"/>
      <c r="AM54" s="220"/>
      <c r="AN54" s="220"/>
      <c r="AO54" s="220"/>
      <c r="AP54" s="220"/>
      <c r="AQ54" s="220"/>
      <c r="AR54" s="220"/>
      <c r="AS54" s="220"/>
      <c r="AT54" s="220"/>
      <c r="AU54" s="220"/>
      <c r="AV54" s="220"/>
    </row>
    <row r="55" spans="1:49" x14ac:dyDescent="0.35">
      <c r="A55" s="336"/>
      <c r="B55" s="329"/>
      <c r="C55" s="330"/>
      <c r="D55" s="330"/>
      <c r="E55" s="330"/>
      <c r="F55" s="330"/>
      <c r="G55" s="322" t="s">
        <v>101</v>
      </c>
      <c r="H55" s="323"/>
      <c r="I55" s="323"/>
      <c r="J55" s="323"/>
      <c r="K55" s="323"/>
      <c r="L55" s="323"/>
      <c r="M55" s="323"/>
      <c r="N55" s="278" t="s">
        <v>102</v>
      </c>
      <c r="O55" s="196" t="str">
        <f t="shared" si="9"/>
        <v>ü</v>
      </c>
      <c r="Z55" s="220"/>
      <c r="AA55" s="220"/>
      <c r="AB55" s="220"/>
      <c r="AC55" s="392"/>
      <c r="AD55" s="279">
        <f>IF(AO33&gt;0,1,0)</f>
        <v>1</v>
      </c>
      <c r="AE55" s="389" t="str">
        <f>IF(AD55+AD56=2,"True","False")</f>
        <v>True</v>
      </c>
      <c r="AF55" s="220"/>
      <c r="AG55" s="220"/>
      <c r="AH55" s="220"/>
      <c r="AI55" s="220"/>
      <c r="AJ55" s="220"/>
      <c r="AK55" s="220"/>
      <c r="AL55" s="220"/>
      <c r="AM55" s="220"/>
      <c r="AN55" s="220"/>
      <c r="AO55" s="220"/>
      <c r="AP55" s="220"/>
      <c r="AQ55" s="220"/>
      <c r="AR55" s="220"/>
      <c r="AS55" s="220"/>
      <c r="AT55" s="220"/>
      <c r="AU55" s="220"/>
      <c r="AV55" s="220"/>
    </row>
    <row r="56" spans="1:49" ht="15.65" customHeight="1" thickBot="1" x14ac:dyDescent="0.4">
      <c r="A56" s="336"/>
      <c r="B56" s="332"/>
      <c r="C56" s="333"/>
      <c r="D56" s="333"/>
      <c r="E56" s="333"/>
      <c r="F56" s="333"/>
      <c r="G56" s="417" t="s">
        <v>103</v>
      </c>
      <c r="H56" s="417"/>
      <c r="I56" s="417"/>
      <c r="J56" s="417"/>
      <c r="K56" s="417"/>
      <c r="L56" s="417"/>
      <c r="M56" s="417"/>
      <c r="N56" s="417"/>
      <c r="O56" s="60" t="str">
        <f t="shared" si="9"/>
        <v>ü</v>
      </c>
      <c r="P56" s="242"/>
      <c r="Z56" s="220"/>
      <c r="AA56" s="220"/>
      <c r="AB56" s="220"/>
      <c r="AC56" s="393"/>
      <c r="AD56" s="280">
        <f>IF(MIN(AO25:AO29)&lt;0,0,1)</f>
        <v>1</v>
      </c>
      <c r="AE56" s="390"/>
      <c r="AF56" s="220"/>
      <c r="AG56" s="220"/>
      <c r="AH56" s="220"/>
      <c r="AI56" s="220"/>
      <c r="AJ56" s="220"/>
      <c r="AK56" s="220"/>
      <c r="AL56" s="220"/>
      <c r="AM56" s="220"/>
      <c r="AN56" s="220"/>
      <c r="AO56" s="220"/>
      <c r="AP56" s="220"/>
      <c r="AQ56" s="220"/>
      <c r="AR56" s="220"/>
      <c r="AS56" s="220"/>
      <c r="AT56" s="220"/>
      <c r="AU56" s="220"/>
      <c r="AV56" s="220"/>
    </row>
    <row r="57" spans="1:49" ht="15.65" customHeight="1" x14ac:dyDescent="0.35">
      <c r="A57" s="336"/>
      <c r="B57" s="326" t="str">
        <f>'Data validation'!$C$24</f>
        <v>Moderate likelihood of supporting the Auckland Network Operating Plan (ANOP) and Future Connect</v>
      </c>
      <c r="C57" s="327"/>
      <c r="D57" s="327"/>
      <c r="E57" s="327"/>
      <c r="F57" s="328"/>
      <c r="G57" s="396" t="s">
        <v>104</v>
      </c>
      <c r="H57" s="397"/>
      <c r="I57" s="397"/>
      <c r="J57" s="397"/>
      <c r="K57" s="397"/>
      <c r="L57" s="397"/>
      <c r="M57" s="397"/>
      <c r="N57" s="282" t="s">
        <v>99</v>
      </c>
      <c r="O57" s="61" t="str">
        <f t="shared" si="9"/>
        <v>ü</v>
      </c>
      <c r="Z57" s="220"/>
      <c r="AA57" s="220"/>
      <c r="AB57" s="220"/>
      <c r="AC57" s="394" t="s">
        <v>105</v>
      </c>
      <c r="AD57" s="276">
        <f>AD55</f>
        <v>1</v>
      </c>
      <c r="AE57" s="277" t="str">
        <f>IF(AD57=1,"True","False")</f>
        <v>True</v>
      </c>
      <c r="AF57" s="220"/>
      <c r="AG57" s="220"/>
      <c r="AH57" s="220"/>
      <c r="AI57" s="220"/>
      <c r="AJ57" s="220"/>
      <c r="AK57" s="220"/>
      <c r="AL57" s="220"/>
      <c r="AM57" s="220"/>
      <c r="AN57" s="220"/>
      <c r="AO57" s="220"/>
      <c r="AP57" s="220"/>
      <c r="AQ57" s="220"/>
      <c r="AR57" s="220"/>
      <c r="AS57" s="220"/>
      <c r="AT57" s="220"/>
      <c r="AU57" s="220"/>
      <c r="AV57" s="220"/>
    </row>
    <row r="58" spans="1:49" ht="15.65" customHeight="1" thickBot="1" x14ac:dyDescent="0.4">
      <c r="A58" s="336"/>
      <c r="B58" s="329"/>
      <c r="C58" s="330"/>
      <c r="D58" s="330"/>
      <c r="E58" s="330"/>
      <c r="F58" s="331"/>
      <c r="G58" s="322" t="s">
        <v>106</v>
      </c>
      <c r="H58" s="323"/>
      <c r="I58" s="323"/>
      <c r="J58" s="323"/>
      <c r="K58" s="323"/>
      <c r="L58" s="323"/>
      <c r="M58" s="323"/>
      <c r="N58" s="504"/>
      <c r="O58" s="196" t="str">
        <f t="shared" si="9"/>
        <v>ü</v>
      </c>
      <c r="Z58" s="220"/>
      <c r="AA58" s="220"/>
      <c r="AB58" s="220"/>
      <c r="AC58" s="395"/>
      <c r="AD58" s="280">
        <f>IF(AO34&gt;=0,1,0)</f>
        <v>1</v>
      </c>
      <c r="AE58" s="281" t="str">
        <f>IF(AD58=1,"True","False")</f>
        <v>True</v>
      </c>
      <c r="AF58" s="220"/>
      <c r="AG58" s="220"/>
      <c r="AH58" s="220"/>
      <c r="AI58" s="220"/>
      <c r="AJ58" s="220"/>
      <c r="AK58" s="220"/>
      <c r="AL58" s="220"/>
      <c r="AM58" s="220"/>
      <c r="AN58" s="220"/>
      <c r="AO58" s="220"/>
      <c r="AP58" s="220"/>
      <c r="AQ58" s="220"/>
      <c r="AR58" s="220"/>
      <c r="AS58" s="220"/>
      <c r="AT58" s="220"/>
      <c r="AU58" s="220"/>
      <c r="AV58" s="220"/>
    </row>
    <row r="59" spans="1:49" ht="45" customHeight="1" thickBot="1" x14ac:dyDescent="0.4">
      <c r="A59" s="351"/>
      <c r="B59" s="505" t="s">
        <v>107</v>
      </c>
      <c r="C59" s="505"/>
      <c r="D59" s="505"/>
      <c r="E59" s="505"/>
      <c r="F59" s="505"/>
      <c r="G59" s="506" t="s">
        <v>388</v>
      </c>
      <c r="H59" s="506"/>
      <c r="I59" s="506"/>
      <c r="J59" s="506"/>
      <c r="K59" s="506"/>
      <c r="L59" s="506"/>
      <c r="M59" s="506"/>
      <c r="N59" s="506"/>
      <c r="O59" s="62" t="str">
        <f t="shared" si="9"/>
        <v>û</v>
      </c>
      <c r="Z59" s="220"/>
      <c r="AA59" s="220"/>
      <c r="AB59" s="220"/>
      <c r="AC59" s="283" t="s">
        <v>109</v>
      </c>
      <c r="AD59" s="284">
        <f>IF(AE54="True",0,IF(AE55="True",0,IF(AE57="True",0,IF(AE58="True",0,1))))</f>
        <v>0</v>
      </c>
      <c r="AE59" s="285" t="str">
        <f>IF(AD59=1,"True","False")</f>
        <v>False</v>
      </c>
      <c r="AF59" s="220"/>
      <c r="AG59" s="220"/>
      <c r="AH59" s="220"/>
      <c r="AI59" s="220"/>
      <c r="AJ59" s="220"/>
      <c r="AK59" s="220"/>
      <c r="AL59" s="220"/>
      <c r="AM59" s="220"/>
      <c r="AN59" s="220"/>
      <c r="AO59" s="220"/>
      <c r="AP59" s="220"/>
      <c r="AQ59" s="220"/>
      <c r="AR59" s="220"/>
      <c r="AS59" s="220"/>
      <c r="AT59" s="220"/>
      <c r="AU59" s="220"/>
      <c r="AV59" s="220"/>
    </row>
    <row r="60" spans="1:49" x14ac:dyDescent="0.35">
      <c r="Z60" s="220"/>
      <c r="AA60" s="220"/>
      <c r="AB60" s="220"/>
      <c r="AC60" s="286"/>
      <c r="AD60" s="287" t="s">
        <v>113</v>
      </c>
      <c r="AE60" s="288" t="str">
        <f>IF(AE54="True","H",IF(AE55="True","H",IF(AE57="True","M",IF(AE58="True","M","L"))))</f>
        <v>H</v>
      </c>
      <c r="AF60" s="220"/>
      <c r="AG60" s="220"/>
      <c r="AH60" s="220"/>
      <c r="AI60" s="220"/>
      <c r="AJ60" s="220"/>
      <c r="AK60" s="220"/>
      <c r="AL60" s="220"/>
      <c r="AM60" s="220"/>
      <c r="AN60" s="220"/>
      <c r="AO60" s="220"/>
      <c r="AP60" s="220"/>
      <c r="AQ60" s="220"/>
      <c r="AS60" s="220"/>
      <c r="AT60" s="220"/>
      <c r="AU60" s="220"/>
    </row>
    <row r="61" spans="1:49" x14ac:dyDescent="0.35">
      <c r="B61" s="243"/>
      <c r="C61" s="243"/>
      <c r="D61" s="243"/>
      <c r="E61" s="243"/>
      <c r="F61" s="243"/>
      <c r="Z61" s="220"/>
      <c r="AA61" s="220"/>
      <c r="AB61" s="220"/>
      <c r="AC61" s="286"/>
      <c r="AD61" s="289"/>
      <c r="AE61" s="255"/>
      <c r="AF61" s="220"/>
      <c r="AG61" s="220"/>
      <c r="AH61" s="220"/>
      <c r="AI61" s="220"/>
      <c r="AJ61" s="220"/>
      <c r="AK61" s="220"/>
      <c r="AL61" s="220"/>
      <c r="AM61" s="220"/>
      <c r="AN61" s="220"/>
      <c r="AO61" s="220"/>
      <c r="AP61" s="220"/>
      <c r="AQ61" s="220"/>
      <c r="AS61" s="220"/>
      <c r="AT61" s="220"/>
      <c r="AU61" s="220"/>
    </row>
    <row r="62" spans="1:49" ht="27" customHeight="1" x14ac:dyDescent="0.35">
      <c r="B62" s="420" t="s">
        <v>92</v>
      </c>
      <c r="C62" s="421"/>
      <c r="D62" s="421"/>
      <c r="E62" s="421"/>
      <c r="F62" s="421"/>
      <c r="G62" s="421"/>
      <c r="H62" s="421"/>
      <c r="I62" s="421"/>
      <c r="J62" s="421"/>
      <c r="K62" s="421"/>
      <c r="L62" s="421"/>
      <c r="M62" s="421"/>
      <c r="N62" s="422"/>
      <c r="Z62" s="220"/>
      <c r="AA62" s="220"/>
      <c r="AB62" s="220"/>
      <c r="AC62" s="286"/>
      <c r="AD62" s="289"/>
      <c r="AE62" s="255"/>
      <c r="AF62" s="220"/>
      <c r="AG62" s="220"/>
      <c r="AH62" s="220"/>
      <c r="AI62" s="220"/>
      <c r="AJ62" s="220"/>
      <c r="AK62" s="220"/>
      <c r="AL62" s="220"/>
      <c r="AM62" s="220"/>
      <c r="AN62" s="220"/>
      <c r="AO62" s="220"/>
      <c r="AP62" s="220"/>
      <c r="AQ62" s="220"/>
      <c r="AS62" s="220"/>
      <c r="AT62" s="220"/>
      <c r="AU62" s="220"/>
    </row>
    <row r="63" spans="1:49" ht="27" customHeight="1" x14ac:dyDescent="0.35">
      <c r="B63" s="402" t="s">
        <v>114</v>
      </c>
      <c r="C63" s="330"/>
      <c r="D63" s="330"/>
      <c r="E63" s="330"/>
      <c r="F63" s="330"/>
      <c r="G63" s="503" t="s">
        <v>115</v>
      </c>
      <c r="H63" s="503"/>
      <c r="I63" s="503"/>
      <c r="J63" s="503"/>
      <c r="K63" s="503"/>
      <c r="L63" s="503"/>
      <c r="M63" s="503"/>
      <c r="N63" s="507"/>
      <c r="AB63" s="220"/>
      <c r="AC63" s="286"/>
      <c r="AD63" s="289"/>
      <c r="AE63" s="255"/>
      <c r="AF63" s="220"/>
      <c r="AG63" s="220"/>
      <c r="AH63" s="220"/>
      <c r="AI63" s="220"/>
      <c r="AJ63" s="220"/>
      <c r="AK63" s="220"/>
      <c r="AL63" s="220"/>
      <c r="AM63" s="220"/>
      <c r="AN63" s="220"/>
      <c r="AO63" s="220"/>
      <c r="AP63" s="220"/>
      <c r="AQ63" s="220"/>
      <c r="AS63" s="220"/>
      <c r="AT63" s="220"/>
      <c r="AU63" s="220"/>
    </row>
    <row r="64" spans="1:49" ht="87.75" customHeight="1" x14ac:dyDescent="0.35">
      <c r="B64" s="402" t="s">
        <v>116</v>
      </c>
      <c r="C64" s="330"/>
      <c r="D64" s="330"/>
      <c r="E64" s="330"/>
      <c r="F64" s="330"/>
      <c r="G64" s="330"/>
      <c r="H64" s="330"/>
      <c r="I64" s="330"/>
      <c r="J64" s="330"/>
      <c r="K64" s="330"/>
      <c r="L64" s="330"/>
      <c r="M64" s="330"/>
      <c r="N64" s="331"/>
      <c r="AB64" s="220"/>
      <c r="AC64" s="286"/>
      <c r="AD64" s="289"/>
      <c r="AE64" s="255"/>
      <c r="AF64" s="220"/>
      <c r="AG64" s="220"/>
      <c r="AH64" s="220"/>
      <c r="AI64" s="220"/>
      <c r="AJ64" s="220"/>
      <c r="AK64" s="220"/>
      <c r="AL64" s="220"/>
      <c r="AM64" s="220"/>
      <c r="AN64" s="220"/>
      <c r="AO64" s="220"/>
      <c r="AP64" s="220"/>
      <c r="AQ64" s="220"/>
      <c r="AS64" s="220"/>
      <c r="AT64" s="220"/>
      <c r="AU64" s="220"/>
    </row>
    <row r="65" spans="1:47" ht="27" customHeight="1" x14ac:dyDescent="0.35">
      <c r="B65" s="502" t="s">
        <v>117</v>
      </c>
      <c r="C65" s="503"/>
      <c r="D65" s="503"/>
      <c r="E65" s="503"/>
      <c r="F65" s="503"/>
      <c r="G65" s="503"/>
      <c r="M65" s="220"/>
      <c r="N65" s="290"/>
      <c r="AB65" s="220"/>
      <c r="AC65" s="286"/>
      <c r="AD65" s="289"/>
      <c r="AE65" s="255"/>
      <c r="AF65" s="220"/>
      <c r="AG65" s="220"/>
      <c r="AH65" s="220"/>
      <c r="AI65" s="220"/>
      <c r="AJ65" s="220"/>
      <c r="AK65" s="220"/>
      <c r="AL65" s="220"/>
      <c r="AM65" s="220"/>
      <c r="AN65" s="220"/>
      <c r="AO65" s="220"/>
      <c r="AP65" s="220"/>
      <c r="AQ65" s="220"/>
      <c r="AS65" s="220"/>
      <c r="AT65" s="220"/>
      <c r="AU65" s="220"/>
    </row>
    <row r="66" spans="1:47" ht="27" customHeight="1" x14ac:dyDescent="0.35">
      <c r="B66" s="502" t="s">
        <v>118</v>
      </c>
      <c r="C66" s="503"/>
      <c r="D66" s="503"/>
      <c r="E66" s="503"/>
      <c r="F66" s="503"/>
      <c r="G66" s="503"/>
      <c r="H66" s="503"/>
      <c r="M66" s="220"/>
      <c r="N66" s="290"/>
      <c r="Z66" s="220"/>
      <c r="AA66" s="220"/>
      <c r="AB66" s="220"/>
      <c r="AC66" s="286"/>
      <c r="AD66" s="289"/>
      <c r="AE66" s="255"/>
      <c r="AF66" s="220"/>
      <c r="AG66" s="220"/>
      <c r="AH66" s="220"/>
      <c r="AI66" s="220"/>
      <c r="AJ66" s="220"/>
      <c r="AK66" s="220"/>
      <c r="AL66" s="220"/>
      <c r="AM66" s="220"/>
      <c r="AN66" s="220"/>
      <c r="AO66" s="220"/>
      <c r="AP66" s="220"/>
      <c r="AQ66" s="220"/>
      <c r="AS66" s="220"/>
      <c r="AT66" s="220"/>
      <c r="AU66" s="220"/>
    </row>
    <row r="67" spans="1:47" ht="42.75" customHeight="1" x14ac:dyDescent="0.35">
      <c r="B67" s="410" t="s">
        <v>119</v>
      </c>
      <c r="C67" s="333"/>
      <c r="D67" s="333"/>
      <c r="E67" s="333"/>
      <c r="F67" s="333"/>
      <c r="G67" s="333"/>
      <c r="H67" s="333"/>
      <c r="I67" s="333"/>
      <c r="J67" s="333"/>
      <c r="K67" s="333"/>
      <c r="L67" s="333"/>
      <c r="M67" s="333"/>
      <c r="N67" s="334"/>
      <c r="Z67" s="220"/>
      <c r="AA67" s="220"/>
      <c r="AB67" s="220"/>
      <c r="AC67" s="286"/>
      <c r="AD67" s="289"/>
      <c r="AE67" s="255"/>
      <c r="AF67" s="220"/>
      <c r="AG67" s="220"/>
      <c r="AH67" s="220"/>
      <c r="AI67" s="220"/>
      <c r="AJ67" s="220"/>
      <c r="AK67" s="220"/>
      <c r="AL67" s="220"/>
      <c r="AM67" s="220"/>
      <c r="AN67" s="220"/>
      <c r="AO67" s="220"/>
      <c r="AP67" s="220"/>
      <c r="AQ67" s="220"/>
      <c r="AS67" s="220"/>
      <c r="AT67" s="220"/>
      <c r="AU67" s="220"/>
    </row>
    <row r="68" spans="1:47" ht="18.5" x14ac:dyDescent="0.35">
      <c r="B68" s="291"/>
      <c r="C68" s="291"/>
      <c r="D68" s="291"/>
      <c r="E68" s="291"/>
      <c r="F68" s="291"/>
      <c r="Z68" s="220"/>
      <c r="AA68" s="220"/>
      <c r="AB68" s="220"/>
      <c r="AC68" s="286"/>
      <c r="AD68" s="289"/>
      <c r="AE68" s="255"/>
      <c r="AF68" s="220"/>
      <c r="AG68" s="220"/>
      <c r="AH68" s="220"/>
      <c r="AI68" s="220"/>
      <c r="AJ68" s="220"/>
      <c r="AK68" s="220"/>
      <c r="AL68" s="220"/>
      <c r="AM68" s="220"/>
      <c r="AN68" s="220"/>
      <c r="AO68" s="220"/>
      <c r="AP68" s="220"/>
      <c r="AQ68" s="220"/>
      <c r="AS68" s="220"/>
      <c r="AT68" s="220"/>
      <c r="AU68" s="220"/>
    </row>
    <row r="69" spans="1:47" x14ac:dyDescent="0.35">
      <c r="Z69" s="220"/>
      <c r="AA69" s="220"/>
      <c r="AB69" s="220"/>
      <c r="AC69" s="220"/>
      <c r="AF69" s="220"/>
      <c r="AG69" s="220"/>
      <c r="AH69" s="220"/>
      <c r="AI69" s="220"/>
      <c r="AJ69" s="220"/>
      <c r="AK69" s="220"/>
      <c r="AL69" s="220"/>
      <c r="AM69" s="220"/>
      <c r="AN69" s="220"/>
      <c r="AO69" s="221"/>
      <c r="AP69" s="220"/>
      <c r="AS69" s="220"/>
      <c r="AT69" s="220"/>
      <c r="AU69" s="220"/>
    </row>
    <row r="70" spans="1:47" x14ac:dyDescent="0.35">
      <c r="Z70" s="220"/>
      <c r="AA70" s="220"/>
      <c r="AB70" s="220"/>
      <c r="AC70" s="220"/>
      <c r="AD70" s="220"/>
      <c r="AE70" s="220"/>
      <c r="AF70" s="220"/>
      <c r="AG70" s="220"/>
      <c r="AH70" s="220"/>
      <c r="AI70" s="220"/>
      <c r="AJ70" s="220"/>
      <c r="AK70" s="220"/>
      <c r="AL70" s="220"/>
      <c r="AM70" s="220"/>
      <c r="AN70" s="220"/>
      <c r="AO70" s="221"/>
      <c r="AP70" s="220"/>
      <c r="AS70" s="220"/>
      <c r="AT70" s="220"/>
      <c r="AU70" s="220"/>
    </row>
    <row r="71" spans="1:47" x14ac:dyDescent="0.35">
      <c r="Z71" s="220"/>
      <c r="AA71" s="220"/>
      <c r="AB71" s="220"/>
      <c r="AC71" s="220"/>
      <c r="AD71" s="220"/>
      <c r="AE71" s="220"/>
      <c r="AF71" s="220"/>
      <c r="AG71" s="220"/>
      <c r="AH71" s="220"/>
      <c r="AI71" s="220"/>
      <c r="AJ71" s="220"/>
      <c r="AK71" s="220"/>
      <c r="AL71" s="220"/>
      <c r="AM71" s="220"/>
      <c r="AN71" s="220"/>
      <c r="AO71" s="221"/>
      <c r="AP71" s="220"/>
      <c r="AS71" s="220"/>
      <c r="AT71" s="220"/>
      <c r="AU71" s="220"/>
    </row>
    <row r="72" spans="1:47" x14ac:dyDescent="0.35">
      <c r="Z72" s="220"/>
      <c r="AA72" s="220"/>
      <c r="AB72" s="220"/>
      <c r="AC72" s="220"/>
      <c r="AD72" s="220"/>
      <c r="AE72" s="220"/>
      <c r="AF72" s="220"/>
      <c r="AG72" s="220"/>
      <c r="AH72" s="220"/>
      <c r="AI72" s="220"/>
      <c r="AJ72" s="220"/>
      <c r="AK72" s="220"/>
      <c r="AL72" s="220"/>
      <c r="AM72" s="220"/>
      <c r="AN72" s="220"/>
      <c r="AO72" s="221"/>
      <c r="AP72" s="220"/>
      <c r="AS72" s="220"/>
      <c r="AT72" s="220"/>
      <c r="AU72" s="220"/>
    </row>
    <row r="73" spans="1:47" x14ac:dyDescent="0.35">
      <c r="Z73" s="220"/>
      <c r="AA73" s="220"/>
      <c r="AB73" s="220"/>
      <c r="AC73" s="220"/>
      <c r="AD73" s="220"/>
      <c r="AE73" s="220"/>
      <c r="AF73" s="220"/>
      <c r="AG73" s="220"/>
      <c r="AH73" s="220"/>
      <c r="AI73" s="220"/>
      <c r="AJ73" s="220"/>
      <c r="AK73" s="220"/>
      <c r="AL73" s="220"/>
      <c r="AM73" s="220"/>
      <c r="AN73" s="220"/>
      <c r="AO73" s="221"/>
      <c r="AP73" s="220"/>
      <c r="AS73" s="220"/>
      <c r="AT73" s="220"/>
      <c r="AU73" s="220"/>
    </row>
    <row r="74" spans="1:47" x14ac:dyDescent="0.35">
      <c r="Z74" s="220"/>
      <c r="AA74" s="220"/>
      <c r="AB74" s="220"/>
      <c r="AC74" s="220"/>
      <c r="AD74" s="220"/>
      <c r="AE74" s="220"/>
      <c r="AF74" s="220"/>
      <c r="AG74" s="220"/>
      <c r="AH74" s="220"/>
      <c r="AI74" s="220"/>
      <c r="AJ74" s="220"/>
      <c r="AK74" s="220"/>
      <c r="AL74" s="220"/>
      <c r="AM74" s="220"/>
      <c r="AN74" s="220"/>
      <c r="AO74" s="221"/>
      <c r="AP74" s="220"/>
      <c r="AS74" s="220"/>
      <c r="AT74" s="220"/>
      <c r="AU74" s="220"/>
    </row>
    <row r="75" spans="1:47" x14ac:dyDescent="0.35">
      <c r="A75" s="220"/>
      <c r="Z75" s="220"/>
      <c r="AA75" s="220"/>
      <c r="AB75" s="220"/>
      <c r="AC75" s="220"/>
      <c r="AD75" s="220"/>
      <c r="AE75" s="220"/>
      <c r="AF75" s="220"/>
      <c r="AG75" s="220"/>
      <c r="AH75" s="220"/>
      <c r="AI75" s="220"/>
      <c r="AJ75" s="220"/>
      <c r="AK75" s="220"/>
      <c r="AL75" s="220"/>
      <c r="AM75" s="220"/>
      <c r="AN75" s="220"/>
      <c r="AO75" s="221"/>
      <c r="AP75" s="220"/>
      <c r="AS75" s="220"/>
      <c r="AT75" s="220"/>
      <c r="AU75" s="220"/>
    </row>
    <row r="76" spans="1:47" x14ac:dyDescent="0.35">
      <c r="A76" s="220"/>
      <c r="B76" s="220"/>
      <c r="C76" s="220"/>
      <c r="D76" s="220"/>
      <c r="E76" s="220"/>
      <c r="F76" s="220"/>
      <c r="G76" s="220"/>
      <c r="H76" s="220"/>
      <c r="I76" s="220"/>
      <c r="J76" s="220"/>
      <c r="K76" s="220"/>
      <c r="L76" s="220"/>
      <c r="Z76" s="220"/>
      <c r="AA76" s="220"/>
      <c r="AB76" s="220"/>
      <c r="AC76" s="220"/>
      <c r="AD76" s="220"/>
      <c r="AE76" s="220"/>
      <c r="AF76" s="220"/>
      <c r="AG76" s="220"/>
      <c r="AH76" s="220"/>
      <c r="AI76" s="220"/>
      <c r="AJ76" s="220"/>
      <c r="AK76" s="220"/>
      <c r="AL76" s="220"/>
      <c r="AM76" s="220"/>
      <c r="AN76" s="220"/>
      <c r="AO76" s="221"/>
      <c r="AP76" s="220"/>
      <c r="AS76" s="220"/>
      <c r="AT76" s="220"/>
      <c r="AU76" s="220"/>
    </row>
    <row r="77" spans="1:47" x14ac:dyDescent="0.35">
      <c r="A77" s="220"/>
      <c r="G77" s="220"/>
      <c r="H77" s="220"/>
      <c r="I77" s="220"/>
      <c r="J77" s="220"/>
      <c r="K77" s="220"/>
      <c r="L77" s="220"/>
      <c r="O77" s="220"/>
      <c r="Z77" s="220"/>
      <c r="AA77" s="220"/>
      <c r="AB77" s="220"/>
      <c r="AC77" s="220"/>
      <c r="AD77" s="220"/>
      <c r="AE77" s="220"/>
      <c r="AF77" s="220"/>
      <c r="AG77" s="220"/>
      <c r="AH77" s="220"/>
      <c r="AI77" s="220"/>
      <c r="AJ77" s="220"/>
      <c r="AK77" s="220"/>
      <c r="AL77" s="220"/>
      <c r="AM77" s="220"/>
      <c r="AN77" s="220"/>
      <c r="AO77" s="221"/>
      <c r="AP77" s="220"/>
      <c r="AS77" s="220"/>
      <c r="AT77" s="220"/>
      <c r="AU77" s="220"/>
    </row>
    <row r="78" spans="1:47" x14ac:dyDescent="0.35">
      <c r="A78" s="220"/>
      <c r="B78" s="220"/>
      <c r="C78" s="220"/>
      <c r="D78" s="220"/>
      <c r="E78" s="220"/>
      <c r="F78" s="220"/>
      <c r="G78" s="220"/>
      <c r="H78" s="220"/>
      <c r="I78" s="220"/>
      <c r="J78" s="220"/>
      <c r="K78" s="220"/>
      <c r="L78" s="220"/>
    </row>
    <row r="79" spans="1:47" ht="15" customHeight="1" x14ac:dyDescent="0.35">
      <c r="A79" s="220"/>
      <c r="B79" s="220"/>
      <c r="C79" s="220"/>
      <c r="D79" s="220"/>
      <c r="E79" s="220"/>
      <c r="F79" s="220"/>
      <c r="G79" s="220"/>
      <c r="H79" s="220"/>
      <c r="I79" s="220"/>
      <c r="J79" s="220"/>
      <c r="K79" s="220"/>
      <c r="L79" s="220"/>
      <c r="N79" s="219"/>
    </row>
    <row r="80" spans="1:47" x14ac:dyDescent="0.35">
      <c r="A80" s="220"/>
      <c r="B80" s="220"/>
      <c r="C80" s="220"/>
      <c r="D80" s="220"/>
      <c r="E80" s="220"/>
      <c r="F80" s="220"/>
      <c r="G80" s="220"/>
      <c r="H80" s="220"/>
      <c r="I80" s="220"/>
      <c r="J80" s="220"/>
      <c r="K80" s="220"/>
      <c r="L80" s="220"/>
      <c r="M80" s="222"/>
      <c r="N80" s="255"/>
      <c r="Z80" s="220"/>
      <c r="AA80" s="220"/>
      <c r="AB80" s="220"/>
      <c r="AC80" s="220"/>
      <c r="AD80" s="220"/>
      <c r="AE80" s="220"/>
      <c r="AF80" s="220"/>
      <c r="AG80" s="220"/>
      <c r="AH80" s="220"/>
      <c r="AI80" s="220"/>
      <c r="AJ80" s="220"/>
      <c r="AK80" s="220"/>
      <c r="AL80" s="220"/>
      <c r="AM80" s="220"/>
      <c r="AN80" s="220"/>
      <c r="AO80" s="221"/>
      <c r="AP80" s="220"/>
      <c r="AS80" s="220"/>
      <c r="AT80" s="220"/>
      <c r="AU80" s="220"/>
    </row>
    <row r="81" spans="1:44" s="220" customFormat="1" x14ac:dyDescent="0.35">
      <c r="M81" s="222"/>
      <c r="N81" s="218"/>
      <c r="O81" s="219"/>
      <c r="AO81" s="221"/>
      <c r="AQ81" s="222"/>
      <c r="AR81" s="222"/>
    </row>
    <row r="82" spans="1:44" x14ac:dyDescent="0.35">
      <c r="A82" s="220"/>
      <c r="B82" s="220"/>
      <c r="C82" s="220"/>
      <c r="D82" s="220"/>
      <c r="E82" s="220"/>
      <c r="F82" s="220"/>
      <c r="G82" s="220"/>
      <c r="H82" s="220"/>
      <c r="I82" s="220"/>
      <c r="J82" s="220"/>
      <c r="K82" s="220"/>
      <c r="L82" s="220"/>
      <c r="O82" s="255"/>
      <c r="S82" s="220"/>
      <c r="T82" s="220"/>
      <c r="U82" s="220"/>
      <c r="V82" s="220"/>
      <c r="W82" s="220"/>
      <c r="X82" s="220"/>
      <c r="Y82" s="220"/>
      <c r="Z82" s="220"/>
      <c r="AA82" s="220"/>
      <c r="AB82" s="220"/>
      <c r="AC82" s="220"/>
      <c r="AD82" s="220"/>
    </row>
    <row r="83" spans="1:44" ht="15" customHeight="1" x14ac:dyDescent="0.35">
      <c r="A83" s="220"/>
      <c r="B83" s="220"/>
      <c r="C83" s="220"/>
      <c r="D83" s="220"/>
      <c r="E83" s="220"/>
      <c r="F83" s="220"/>
      <c r="G83" s="220"/>
      <c r="H83" s="220"/>
      <c r="I83" s="220"/>
      <c r="J83" s="220"/>
      <c r="K83" s="220"/>
      <c r="L83" s="220"/>
      <c r="M83" s="219"/>
    </row>
    <row r="84" spans="1:44" x14ac:dyDescent="0.35">
      <c r="A84" s="220"/>
      <c r="B84" s="220"/>
      <c r="C84" s="220"/>
      <c r="D84" s="220"/>
      <c r="E84" s="220"/>
      <c r="F84" s="220"/>
      <c r="G84" s="220"/>
      <c r="H84" s="220"/>
      <c r="I84" s="220"/>
      <c r="J84" s="220"/>
      <c r="K84" s="220"/>
      <c r="L84" s="220"/>
      <c r="M84" s="255"/>
    </row>
    <row r="85" spans="1:44" x14ac:dyDescent="0.35">
      <c r="A85" s="220"/>
      <c r="B85" s="220"/>
      <c r="C85" s="220"/>
      <c r="D85" s="220"/>
      <c r="E85" s="220"/>
      <c r="F85" s="220"/>
      <c r="G85" s="220"/>
      <c r="H85" s="220"/>
      <c r="I85" s="220"/>
      <c r="J85" s="220"/>
      <c r="K85" s="220"/>
      <c r="L85" s="220"/>
      <c r="P85" s="219"/>
      <c r="Q85" s="219"/>
      <c r="R85" s="219"/>
      <c r="S85" s="219"/>
      <c r="T85" s="219"/>
      <c r="U85" s="219"/>
      <c r="V85" s="219"/>
      <c r="W85" s="219"/>
      <c r="X85" s="219"/>
    </row>
    <row r="86" spans="1:44" x14ac:dyDescent="0.35">
      <c r="A86" s="220"/>
      <c r="B86" s="220"/>
      <c r="C86" s="220"/>
      <c r="D86" s="220"/>
      <c r="E86" s="220"/>
      <c r="F86" s="220"/>
      <c r="G86" s="220"/>
      <c r="H86" s="220"/>
      <c r="I86" s="220"/>
      <c r="J86" s="220"/>
      <c r="K86" s="220"/>
      <c r="L86" s="220"/>
      <c r="P86" s="255"/>
      <c r="Q86" s="255"/>
      <c r="R86" s="255"/>
      <c r="S86" s="255"/>
      <c r="T86" s="255"/>
      <c r="U86" s="255"/>
      <c r="V86" s="255"/>
      <c r="W86" s="255"/>
      <c r="X86" s="255"/>
    </row>
    <row r="87" spans="1:44" x14ac:dyDescent="0.35">
      <c r="A87" s="220"/>
      <c r="B87" s="220"/>
      <c r="C87" s="220"/>
      <c r="D87" s="220"/>
      <c r="E87" s="220"/>
      <c r="F87" s="220"/>
      <c r="G87" s="220"/>
      <c r="H87" s="220"/>
      <c r="I87" s="220"/>
      <c r="J87" s="220"/>
      <c r="K87" s="220"/>
      <c r="L87" s="220"/>
    </row>
    <row r="88" spans="1:44" ht="15" customHeight="1" x14ac:dyDescent="0.35">
      <c r="A88" s="220"/>
      <c r="B88" s="220"/>
      <c r="C88" s="220"/>
      <c r="D88" s="220"/>
      <c r="E88" s="220"/>
      <c r="F88" s="220"/>
      <c r="G88" s="220"/>
      <c r="H88" s="220"/>
      <c r="I88" s="220"/>
      <c r="J88" s="220"/>
      <c r="K88" s="220"/>
      <c r="L88" s="220"/>
    </row>
    <row r="89" spans="1:44" x14ac:dyDescent="0.35">
      <c r="A89" s="220"/>
      <c r="B89" s="220"/>
      <c r="C89" s="220"/>
      <c r="D89" s="220"/>
      <c r="E89" s="220"/>
      <c r="F89" s="220"/>
      <c r="G89" s="220"/>
      <c r="H89" s="220"/>
      <c r="I89" s="220"/>
      <c r="J89" s="220"/>
      <c r="K89" s="220"/>
      <c r="L89" s="220"/>
    </row>
    <row r="90" spans="1:44" ht="15" customHeight="1" x14ac:dyDescent="0.35">
      <c r="A90" s="220"/>
      <c r="B90" s="220"/>
      <c r="C90" s="220"/>
      <c r="D90" s="220"/>
      <c r="E90" s="220"/>
      <c r="F90" s="220"/>
      <c r="G90" s="220"/>
      <c r="H90" s="220"/>
      <c r="I90" s="220"/>
      <c r="J90" s="220"/>
      <c r="K90" s="220"/>
      <c r="L90" s="220"/>
    </row>
    <row r="91" spans="1:44" x14ac:dyDescent="0.35">
      <c r="A91" s="220"/>
      <c r="B91" s="220"/>
      <c r="C91" s="220"/>
      <c r="D91" s="220"/>
      <c r="E91" s="220"/>
      <c r="F91" s="220"/>
      <c r="G91" s="220"/>
      <c r="H91" s="220"/>
      <c r="I91" s="220"/>
      <c r="J91" s="220"/>
      <c r="K91" s="220"/>
      <c r="L91" s="220"/>
    </row>
    <row r="92" spans="1:44" x14ac:dyDescent="0.35">
      <c r="B92" s="219"/>
      <c r="C92" s="219"/>
      <c r="D92" s="219"/>
      <c r="E92" s="219"/>
      <c r="H92" s="222"/>
      <c r="I92" s="222"/>
      <c r="J92" s="222"/>
      <c r="K92" s="222"/>
      <c r="L92" s="222"/>
    </row>
    <row r="93" spans="1:44" x14ac:dyDescent="0.35">
      <c r="B93" s="219"/>
      <c r="C93" s="219"/>
      <c r="D93" s="219"/>
      <c r="E93" s="219"/>
      <c r="H93" s="222"/>
      <c r="I93" s="222"/>
      <c r="J93" s="222"/>
      <c r="K93" s="222"/>
      <c r="L93" s="222"/>
    </row>
    <row r="94" spans="1:44" x14ac:dyDescent="0.35">
      <c r="B94" s="219"/>
      <c r="C94" s="219"/>
      <c r="D94" s="219"/>
      <c r="E94" s="219"/>
      <c r="H94" s="222"/>
      <c r="I94" s="222"/>
      <c r="J94" s="222"/>
      <c r="K94" s="222"/>
      <c r="L94" s="222"/>
    </row>
  </sheetData>
  <sheetProtection algorithmName="SHA-512" hashValue="BOGr7LTwLPMid7oBFyg+nXlU8AmscXBFC+qAxbVdxDNj4if00pPMEqo1cmmSQCltw2bBE0fTqHwxZ7ku8ztHGA==" saltValue="p7e0MuAlFS/I4DvNPkdHhg==" spinCount="100000" sheet="1" objects="1" scenarios="1" selectLockedCells="1"/>
  <mergeCells count="82">
    <mergeCell ref="A10:O10"/>
    <mergeCell ref="A1:M1"/>
    <mergeCell ref="N1:O1"/>
    <mergeCell ref="A3:M3"/>
    <mergeCell ref="A4:O4"/>
    <mergeCell ref="A5:M5"/>
    <mergeCell ref="A6:F6"/>
    <mergeCell ref="G6:K6"/>
    <mergeCell ref="A7:O7"/>
    <mergeCell ref="A8:M8"/>
    <mergeCell ref="N8:O8"/>
    <mergeCell ref="A9:M9"/>
    <mergeCell ref="N9:O9"/>
    <mergeCell ref="A18:A22"/>
    <mergeCell ref="C18:F18"/>
    <mergeCell ref="C19:F19"/>
    <mergeCell ref="C21:F21"/>
    <mergeCell ref="C22:F22"/>
    <mergeCell ref="A11:O11"/>
    <mergeCell ref="A12:O12"/>
    <mergeCell ref="A13:O13"/>
    <mergeCell ref="A14:O14"/>
    <mergeCell ref="C17:F17"/>
    <mergeCell ref="B24:F24"/>
    <mergeCell ref="A25:A30"/>
    <mergeCell ref="C25:F25"/>
    <mergeCell ref="C26:F26"/>
    <mergeCell ref="C27:F27"/>
    <mergeCell ref="C28:F28"/>
    <mergeCell ref="C29:F29"/>
    <mergeCell ref="C30:F30"/>
    <mergeCell ref="C31:F31"/>
    <mergeCell ref="C32:F32"/>
    <mergeCell ref="AU33:AV33"/>
    <mergeCell ref="A34:A39"/>
    <mergeCell ref="H37:I39"/>
    <mergeCell ref="J37:O39"/>
    <mergeCell ref="A44:B44"/>
    <mergeCell ref="D44:H44"/>
    <mergeCell ref="I44:J44"/>
    <mergeCell ref="K44:O44"/>
    <mergeCell ref="D45:H45"/>
    <mergeCell ref="I45:J45"/>
    <mergeCell ref="K45:O45"/>
    <mergeCell ref="D46:H46"/>
    <mergeCell ref="I46:J46"/>
    <mergeCell ref="K46:O46"/>
    <mergeCell ref="D47:H47"/>
    <mergeCell ref="I47:J47"/>
    <mergeCell ref="K47:O47"/>
    <mergeCell ref="D48:H48"/>
    <mergeCell ref="I48:J48"/>
    <mergeCell ref="K48:O48"/>
    <mergeCell ref="D49:H49"/>
    <mergeCell ref="I49:J49"/>
    <mergeCell ref="K49:O49"/>
    <mergeCell ref="A50:B50"/>
    <mergeCell ref="C50:O50"/>
    <mergeCell ref="A51:B51"/>
    <mergeCell ref="C51:O51"/>
    <mergeCell ref="B53:F53"/>
    <mergeCell ref="G53:O53"/>
    <mergeCell ref="AE55:AE56"/>
    <mergeCell ref="G56:N56"/>
    <mergeCell ref="B57:F58"/>
    <mergeCell ref="G57:M57"/>
    <mergeCell ref="AC57:AC58"/>
    <mergeCell ref="A54:A59"/>
    <mergeCell ref="B54:F56"/>
    <mergeCell ref="G54:M54"/>
    <mergeCell ref="AC54:AC56"/>
    <mergeCell ref="G55:M55"/>
    <mergeCell ref="B64:N64"/>
    <mergeCell ref="B65:G65"/>
    <mergeCell ref="B66:H66"/>
    <mergeCell ref="B67:N67"/>
    <mergeCell ref="G58:N58"/>
    <mergeCell ref="B59:F59"/>
    <mergeCell ref="G59:N59"/>
    <mergeCell ref="B62:N62"/>
    <mergeCell ref="B63:F63"/>
    <mergeCell ref="G63:N63"/>
  </mergeCells>
  <conditionalFormatting sqref="G54 N54:O54">
    <cfRule type="expression" dxfId="10" priority="8">
      <formula>$AE$54="True"</formula>
    </cfRule>
  </conditionalFormatting>
  <conditionalFormatting sqref="G55 N55:O55 G56:O56">
    <cfRule type="expression" dxfId="9" priority="7">
      <formula>$AE$55="True"</formula>
    </cfRule>
  </conditionalFormatting>
  <conditionalFormatting sqref="G57 N57:O57">
    <cfRule type="expression" dxfId="8" priority="6">
      <formula>$AE$57="True"</formula>
    </cfRule>
  </conditionalFormatting>
  <conditionalFormatting sqref="G58 O58">
    <cfRule type="expression" dxfId="7" priority="5">
      <formula>$AE$58="True"</formula>
    </cfRule>
  </conditionalFormatting>
  <conditionalFormatting sqref="G59:O59 N57:O57 G57:G58 O58">
    <cfRule type="expression" dxfId="6" priority="2">
      <formula>$AE$60="H"</formula>
    </cfRule>
  </conditionalFormatting>
  <conditionalFormatting sqref="G59:O59">
    <cfRule type="expression" dxfId="5" priority="1">
      <formula>$AE$60="L"</formula>
    </cfRule>
    <cfRule type="expression" dxfId="4" priority="3">
      <formula>W$60="M"</formula>
    </cfRule>
  </conditionalFormatting>
  <conditionalFormatting sqref="J37 B54">
    <cfRule type="expression" dxfId="3" priority="9">
      <formula>$AE$60="H"</formula>
    </cfRule>
  </conditionalFormatting>
  <conditionalFormatting sqref="J37 B57">
    <cfRule type="expression" dxfId="2" priority="10">
      <formula>$AE$60="M"</formula>
    </cfRule>
  </conditionalFormatting>
  <conditionalFormatting sqref="J37 B59">
    <cfRule type="expression" dxfId="1" priority="11">
      <formula>$AE$60="L"</formula>
    </cfRule>
  </conditionalFormatting>
  <conditionalFormatting sqref="N57:O57 G57:G58 O58">
    <cfRule type="expression" dxfId="0" priority="4">
      <formula>$AE$60="L"</formula>
    </cfRule>
  </conditionalFormatting>
  <dataValidations count="1">
    <dataValidation type="list" allowBlank="1" showInputMessage="1" showErrorMessage="1" sqref="M80:M81 H92:L94" xr:uid="{AF18E69F-F4CE-47C1-B013-462C5FD06858}">
      <formula1>"A,B,C,D,E,F"</formula1>
    </dataValidation>
  </dataValidations>
  <hyperlinks>
    <hyperlink ref="B24" r:id="rId1" display="Future Connect Network Hierarchy" xr:uid="{38CB608E-6F91-432C-B6E2-5D45F2E07B1E}"/>
    <hyperlink ref="B65" r:id="rId2" display="For more information about the Auckland Network Operating Plan" xr:uid="{1CBFC113-58D5-48A5-9F53-5E129C2414C4}"/>
    <hyperlink ref="B66" r:id="rId3" xr:uid="{A9AAE735-D122-4113-9071-6A8CE6BD3240}"/>
    <hyperlink ref="G63:I63" r:id="rId4" display="   Application of the Auckland Network Operating Plan" xr:uid="{D53E756E-A627-439B-B785-0545586245F2}"/>
    <hyperlink ref="N9:O9" r:id="rId5" display="Link to the ANOP webpage" xr:uid="{D223552F-9AAA-4035-81D2-A9161AA87CE8}"/>
    <hyperlink ref="N8:O8" r:id="rId6" display="Link to Future Connect Mapping Portal" xr:uid="{DF6E088E-55DC-4A86-9E76-5F91F0902331}"/>
  </hyperlinks>
  <printOptions horizontalCentered="1"/>
  <pageMargins left="0.39370078740157483" right="0.39370078740157483" top="0.39370078740157483" bottom="0.39370078740157483" header="0.19685039370078741" footer="0.19685039370078741"/>
  <pageSetup paperSize="9" scale="56" orientation="landscape" horizontalDpi="1200" verticalDpi="1200" r:id="rId7"/>
  <headerFooter>
    <oddFooter>&amp;R&amp;A</oddFooter>
  </headerFooter>
  <drawing r:id="rId8"/>
  <extLst>
    <ext xmlns:x14="http://schemas.microsoft.com/office/spreadsheetml/2009/9/main" uri="{CCE6A557-97BC-4b89-ADB6-D9C93CAAB3DF}">
      <x14:dataValidations xmlns:xm="http://schemas.microsoft.com/office/excel/2006/main" count="11">
        <x14:dataValidation type="list" allowBlank="1" showInputMessage="1" showErrorMessage="1" xr:uid="{CECEDFB2-6E01-4CC2-BFA9-79623F9EE336}">
          <x14:formula1>
            <xm:f>'Data validation'!$A$23:$A$35</xm:f>
          </x14:formula1>
          <xm:sqref>F35:F39</xm:sqref>
        </x14:dataValidation>
        <x14:dataValidation type="list" allowBlank="1" showInputMessage="1" showErrorMessage="1" xr:uid="{B897E032-0BA4-4B17-9D2F-8BE29416D7D9}">
          <x14:formula1>
            <xm:f>'Data validation'!$A$29:$A$35</xm:f>
          </x14:formula1>
          <xm:sqref>C35:C39</xm:sqref>
        </x14:dataValidation>
        <x14:dataValidation type="list" allowBlank="1" showInputMessage="1" showErrorMessage="1" xr:uid="{BCED71FB-1533-4D8D-BEB1-5BD0811F8E51}">
          <x14:formula1>
            <xm:f>'Data validation'!$K$23:$K$29</xm:f>
          </x14:formula1>
          <xm:sqref>E35:E39</xm:sqref>
        </x14:dataValidation>
        <x14:dataValidation type="list" allowBlank="1" showInputMessage="1" showErrorMessage="1" xr:uid="{11F9A3A0-F2EB-4965-B6E4-4580DE6E8D83}">
          <x14:formula1>
            <xm:f>'Data validation'!$M$4:$M$12</xm:f>
          </x14:formula1>
          <xm:sqref>C28</xm:sqref>
        </x14:dataValidation>
        <x14:dataValidation type="list" allowBlank="1" showInputMessage="1" showErrorMessage="1" xr:uid="{459E6969-5349-4671-942C-6EEAECFF8BDE}">
          <x14:formula1>
            <xm:f>'Data validation'!$A$29:$A$34</xm:f>
          </x14:formula1>
          <xm:sqref>C40:E41</xm:sqref>
        </x14:dataValidation>
        <x14:dataValidation type="list" allowBlank="1" showInputMessage="1" showErrorMessage="1" xr:uid="{F37DC980-339E-491C-9371-2D10CC3777A5}">
          <x14:formula1>
            <xm:f>'Data validation'!$A$23:$A$34</xm:f>
          </x14:formula1>
          <xm:sqref>F40:F41</xm:sqref>
        </x14:dataValidation>
        <x14:dataValidation type="list" allowBlank="1" showInputMessage="1" showErrorMessage="1" xr:uid="{55E7F9F6-B17E-4FC1-B301-7ED7E3670313}">
          <x14:formula1>
            <xm:f>'Data validation'!$AD$4:$AD$15</xm:f>
          </x14:formula1>
          <xm:sqref>C30</xm:sqref>
        </x14:dataValidation>
        <x14:dataValidation type="list" allowBlank="1" showInputMessage="1" showErrorMessage="1" xr:uid="{D0AE787D-461C-4C10-8A11-A92A97F5ED9B}">
          <x14:formula1>
            <xm:f>'Data validation'!$S$4:$S$9</xm:f>
          </x14:formula1>
          <xm:sqref>C29</xm:sqref>
        </x14:dataValidation>
        <x14:dataValidation type="list" allowBlank="1" showInputMessage="1" showErrorMessage="1" xr:uid="{5597BD75-F3EF-405B-80EE-1FAE98F3C112}">
          <x14:formula1>
            <xm:f>'Data validation'!$Y$4:$Y$7</xm:f>
          </x14:formula1>
          <xm:sqref>C25</xm:sqref>
        </x14:dataValidation>
        <x14:dataValidation type="list" allowBlank="1" showInputMessage="1" showErrorMessage="1" xr:uid="{478981FB-6E97-40C3-8FE6-E620984CA0E1}">
          <x14:formula1>
            <xm:f>'Data validation'!$A$4:$A$10</xm:f>
          </x14:formula1>
          <xm:sqref>C26</xm:sqref>
        </x14:dataValidation>
        <x14:dataValidation type="list" allowBlank="1" showInputMessage="1" showErrorMessage="1" xr:uid="{F50A06C0-8305-43CC-8303-9091CD649BAE}">
          <x14:formula1>
            <xm:f>'Data validation'!$G$4:$G$11</xm:f>
          </x14:formula1>
          <xm:sqref>C27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CE790-1F31-44A4-98E8-3FB5EC9082DE}">
  <sheetPr codeName="Sheet2"/>
  <dimension ref="A1:R202"/>
  <sheetViews>
    <sheetView topLeftCell="A117" workbookViewId="0">
      <selection activeCell="C136" sqref="C136"/>
    </sheetView>
  </sheetViews>
  <sheetFormatPr defaultColWidth="9.08984375" defaultRowHeight="14" x14ac:dyDescent="0.35"/>
  <cols>
    <col min="1" max="1" width="3.36328125" style="120" bestFit="1" customWidth="1"/>
    <col min="2" max="2" width="69.36328125" style="122" customWidth="1"/>
    <col min="3" max="3" width="53" style="122" customWidth="1"/>
    <col min="4" max="4" width="24.08984375" style="122" customWidth="1"/>
    <col min="5" max="5" width="10.6328125" style="122" customWidth="1"/>
    <col min="6" max="6" width="6" style="120" customWidth="1"/>
    <col min="7" max="7" width="37" style="120" customWidth="1"/>
    <col min="8" max="8" width="33.90625" style="123" customWidth="1"/>
    <col min="9" max="9" width="19.6328125" style="123" customWidth="1"/>
    <col min="10" max="10" width="9.08984375" style="123"/>
    <col min="11" max="16384" width="9.08984375" style="120"/>
  </cols>
  <sheetData>
    <row r="1" spans="1:18" ht="21" thickBot="1" x14ac:dyDescent="0.4">
      <c r="B1" s="121" t="s">
        <v>389</v>
      </c>
      <c r="C1" s="120"/>
      <c r="D1" s="120"/>
      <c r="G1" s="121" t="s">
        <v>390</v>
      </c>
      <c r="M1" s="123"/>
      <c r="N1" s="123"/>
      <c r="O1" s="123"/>
    </row>
    <row r="2" spans="1:18" ht="16" thickBot="1" x14ac:dyDescent="0.4">
      <c r="B2" s="124" t="s">
        <v>391</v>
      </c>
      <c r="C2" s="124" t="s">
        <v>392</v>
      </c>
      <c r="D2" s="125" t="s">
        <v>393</v>
      </c>
      <c r="G2" s="126" t="s">
        <v>394</v>
      </c>
      <c r="H2" s="126" t="s">
        <v>392</v>
      </c>
      <c r="I2" s="125" t="s">
        <v>393</v>
      </c>
      <c r="M2" s="535" t="s">
        <v>395</v>
      </c>
      <c r="N2" s="535"/>
      <c r="O2" s="535"/>
      <c r="P2" s="536" t="s">
        <v>396</v>
      </c>
      <c r="Q2" s="536"/>
      <c r="R2" s="536"/>
    </row>
    <row r="3" spans="1:18" ht="52.5" thickBot="1" x14ac:dyDescent="0.4">
      <c r="A3" s="127">
        <v>1</v>
      </c>
      <c r="B3" s="128" t="s">
        <v>397</v>
      </c>
      <c r="C3" s="129" t="s">
        <v>340</v>
      </c>
      <c r="D3" s="130" t="s">
        <v>398</v>
      </c>
      <c r="F3" s="131">
        <v>1</v>
      </c>
      <c r="G3" s="128" t="s">
        <v>399</v>
      </c>
      <c r="I3" s="132"/>
      <c r="K3" s="133" t="s">
        <v>135</v>
      </c>
      <c r="L3" s="134" t="s">
        <v>136</v>
      </c>
      <c r="M3" s="135" t="s">
        <v>400</v>
      </c>
      <c r="N3" s="135" t="s">
        <v>401</v>
      </c>
      <c r="O3" s="135" t="s">
        <v>402</v>
      </c>
      <c r="P3" s="135" t="s">
        <v>400</v>
      </c>
      <c r="Q3" s="135" t="s">
        <v>401</v>
      </c>
      <c r="R3" s="135" t="s">
        <v>402</v>
      </c>
    </row>
    <row r="4" spans="1:18" ht="39.5" thickBot="1" x14ac:dyDescent="0.4">
      <c r="A4" s="127">
        <v>2</v>
      </c>
      <c r="B4" s="128" t="s">
        <v>403</v>
      </c>
      <c r="C4" s="129" t="s">
        <v>404</v>
      </c>
      <c r="D4" s="136" t="s">
        <v>398</v>
      </c>
      <c r="F4" s="131">
        <v>2</v>
      </c>
      <c r="G4" s="137" t="s">
        <v>405</v>
      </c>
      <c r="H4" s="128"/>
      <c r="I4" s="132"/>
      <c r="K4" s="532" t="s">
        <v>406</v>
      </c>
      <c r="L4" s="138" t="s">
        <v>52</v>
      </c>
      <c r="M4" s="139" t="s">
        <v>78</v>
      </c>
      <c r="N4" s="139" t="s">
        <v>78</v>
      </c>
      <c r="O4" s="139" t="s">
        <v>78</v>
      </c>
      <c r="P4" s="140" t="s">
        <v>144</v>
      </c>
      <c r="Q4" s="140" t="s">
        <v>144</v>
      </c>
      <c r="R4" s="140" t="s">
        <v>144</v>
      </c>
    </row>
    <row r="5" spans="1:18" ht="52.5" thickBot="1" x14ac:dyDescent="0.4">
      <c r="A5" s="127">
        <v>3</v>
      </c>
      <c r="B5" s="128" t="s">
        <v>407</v>
      </c>
      <c r="C5" s="129" t="s">
        <v>408</v>
      </c>
      <c r="D5" s="136" t="s">
        <v>398</v>
      </c>
      <c r="F5" s="131">
        <v>3</v>
      </c>
      <c r="G5" s="137" t="s">
        <v>409</v>
      </c>
      <c r="H5" s="128"/>
      <c r="I5" s="132"/>
      <c r="K5" s="534"/>
      <c r="L5" s="138" t="s">
        <v>143</v>
      </c>
      <c r="M5" s="140" t="s">
        <v>144</v>
      </c>
      <c r="N5" s="140" t="s">
        <v>144</v>
      </c>
      <c r="O5" s="140" t="s">
        <v>144</v>
      </c>
      <c r="P5" s="141" t="s">
        <v>83</v>
      </c>
      <c r="Q5" s="141" t="s">
        <v>83</v>
      </c>
      <c r="R5" s="141" t="s">
        <v>83</v>
      </c>
    </row>
    <row r="6" spans="1:18" ht="65.5" thickBot="1" x14ac:dyDescent="0.4">
      <c r="A6" s="127">
        <v>4</v>
      </c>
      <c r="B6" s="128" t="s">
        <v>410</v>
      </c>
      <c r="C6" s="142" t="s">
        <v>411</v>
      </c>
      <c r="D6" s="136" t="s">
        <v>398</v>
      </c>
      <c r="F6" s="131">
        <v>4</v>
      </c>
      <c r="G6" s="128" t="s">
        <v>412</v>
      </c>
      <c r="H6" s="143" t="s">
        <v>413</v>
      </c>
      <c r="I6" s="132"/>
      <c r="K6" s="532" t="s">
        <v>91</v>
      </c>
      <c r="L6" s="138" t="s">
        <v>414</v>
      </c>
      <c r="M6" s="139" t="s">
        <v>78</v>
      </c>
      <c r="N6" s="139" t="s">
        <v>78</v>
      </c>
      <c r="O6" s="139" t="s">
        <v>78</v>
      </c>
      <c r="P6" s="140" t="s">
        <v>144</v>
      </c>
      <c r="Q6" s="140" t="s">
        <v>144</v>
      </c>
      <c r="R6" s="140" t="s">
        <v>144</v>
      </c>
    </row>
    <row r="7" spans="1:18" ht="56.5" thickBot="1" x14ac:dyDescent="0.4">
      <c r="A7" s="127">
        <v>5</v>
      </c>
      <c r="B7" s="128" t="s">
        <v>415</v>
      </c>
      <c r="C7" s="144" t="s">
        <v>416</v>
      </c>
      <c r="D7" s="145" t="s">
        <v>417</v>
      </c>
      <c r="F7" s="131">
        <v>5</v>
      </c>
      <c r="G7" s="137" t="s">
        <v>418</v>
      </c>
      <c r="H7" s="128"/>
      <c r="I7" s="132"/>
      <c r="K7" s="534"/>
      <c r="L7" s="138" t="s">
        <v>52</v>
      </c>
      <c r="M7" s="139" t="s">
        <v>78</v>
      </c>
      <c r="N7" s="139" t="s">
        <v>78</v>
      </c>
      <c r="O7" s="139" t="s">
        <v>78</v>
      </c>
      <c r="P7" s="140" t="s">
        <v>144</v>
      </c>
      <c r="Q7" s="140" t="s">
        <v>144</v>
      </c>
      <c r="R7" s="140" t="s">
        <v>144</v>
      </c>
    </row>
    <row r="8" spans="1:18" ht="104.5" thickBot="1" x14ac:dyDescent="0.4">
      <c r="A8" s="127">
        <v>6</v>
      </c>
      <c r="B8" s="128" t="s">
        <v>419</v>
      </c>
      <c r="C8" s="530" t="s">
        <v>420</v>
      </c>
      <c r="D8" s="136" t="s">
        <v>398</v>
      </c>
      <c r="F8" s="131">
        <v>6</v>
      </c>
      <c r="G8" s="128" t="s">
        <v>421</v>
      </c>
      <c r="H8" s="128"/>
      <c r="I8" s="132"/>
      <c r="K8" s="532" t="s">
        <v>59</v>
      </c>
      <c r="L8" s="138" t="s">
        <v>422</v>
      </c>
      <c r="M8" s="139" t="s">
        <v>78</v>
      </c>
      <c r="N8" s="139" t="s">
        <v>78</v>
      </c>
      <c r="O8" s="139" t="s">
        <v>78</v>
      </c>
      <c r="P8" s="140" t="s">
        <v>144</v>
      </c>
      <c r="Q8" s="140" t="s">
        <v>144</v>
      </c>
      <c r="R8" s="140" t="s">
        <v>144</v>
      </c>
    </row>
    <row r="9" spans="1:18" ht="65.5" thickBot="1" x14ac:dyDescent="0.4">
      <c r="A9" s="127">
        <v>7</v>
      </c>
      <c r="B9" s="128" t="s">
        <v>423</v>
      </c>
      <c r="C9" s="531"/>
      <c r="D9" s="136" t="s">
        <v>398</v>
      </c>
      <c r="F9" s="131">
        <v>7</v>
      </c>
      <c r="G9" s="128" t="s">
        <v>424</v>
      </c>
      <c r="H9" s="128"/>
      <c r="I9" s="132"/>
      <c r="K9" s="533"/>
      <c r="L9" s="138" t="s">
        <v>425</v>
      </c>
      <c r="M9" s="140" t="s">
        <v>144</v>
      </c>
      <c r="N9" s="140" t="s">
        <v>144</v>
      </c>
      <c r="O9" s="140" t="s">
        <v>144</v>
      </c>
      <c r="P9" s="141" t="s">
        <v>83</v>
      </c>
      <c r="Q9" s="141" t="s">
        <v>83</v>
      </c>
      <c r="R9" s="141" t="s">
        <v>83</v>
      </c>
    </row>
    <row r="10" spans="1:18" ht="39.5" thickBot="1" x14ac:dyDescent="0.4">
      <c r="A10" s="127">
        <v>8</v>
      </c>
      <c r="B10" s="128" t="s">
        <v>426</v>
      </c>
      <c r="C10" s="129" t="s">
        <v>427</v>
      </c>
      <c r="D10" s="136" t="s">
        <v>398</v>
      </c>
      <c r="F10" s="131"/>
      <c r="G10" s="128"/>
      <c r="H10" s="128"/>
      <c r="I10" s="132"/>
      <c r="K10" s="534"/>
      <c r="L10" s="138" t="s">
        <v>428</v>
      </c>
      <c r="M10" s="141" t="s">
        <v>83</v>
      </c>
      <c r="N10" s="140" t="s">
        <v>144</v>
      </c>
      <c r="O10" s="141" t="s">
        <v>83</v>
      </c>
      <c r="P10" s="147" t="s">
        <v>155</v>
      </c>
      <c r="Q10" s="141" t="s">
        <v>83</v>
      </c>
      <c r="R10" s="147" t="s">
        <v>155</v>
      </c>
    </row>
    <row r="11" spans="1:18" ht="42.5" thickBot="1" x14ac:dyDescent="0.4">
      <c r="A11" s="127">
        <v>9</v>
      </c>
      <c r="B11" s="128" t="s">
        <v>429</v>
      </c>
      <c r="C11" s="129" t="s">
        <v>430</v>
      </c>
      <c r="D11" s="136" t="s">
        <v>398</v>
      </c>
      <c r="F11" s="131"/>
      <c r="G11" s="128"/>
      <c r="H11" s="128"/>
      <c r="I11" s="132"/>
      <c r="K11" s="532" t="s">
        <v>431</v>
      </c>
      <c r="L11" s="138" t="s">
        <v>184</v>
      </c>
      <c r="M11" s="140" t="s">
        <v>144</v>
      </c>
      <c r="N11" s="140" t="s">
        <v>144</v>
      </c>
      <c r="O11" s="140" t="s">
        <v>144</v>
      </c>
      <c r="P11" s="141" t="s">
        <v>83</v>
      </c>
      <c r="Q11" s="141" t="s">
        <v>83</v>
      </c>
      <c r="R11" s="141" t="s">
        <v>83</v>
      </c>
    </row>
    <row r="12" spans="1:18" ht="56.5" thickBot="1" x14ac:dyDescent="0.4">
      <c r="A12" s="127">
        <v>10</v>
      </c>
      <c r="B12" s="128" t="s">
        <v>432</v>
      </c>
      <c r="C12" s="144" t="s">
        <v>433</v>
      </c>
      <c r="D12" s="145" t="s">
        <v>417</v>
      </c>
      <c r="F12" s="131"/>
      <c r="G12" s="128"/>
      <c r="H12" s="128"/>
      <c r="I12" s="132"/>
      <c r="K12" s="533"/>
      <c r="L12" s="138" t="s">
        <v>434</v>
      </c>
      <c r="M12" s="140" t="s">
        <v>144</v>
      </c>
      <c r="N12" s="140" t="s">
        <v>144</v>
      </c>
      <c r="O12" s="140" t="s">
        <v>144</v>
      </c>
      <c r="P12" s="141" t="s">
        <v>83</v>
      </c>
      <c r="Q12" s="141" t="s">
        <v>83</v>
      </c>
      <c r="R12" s="141" t="s">
        <v>83</v>
      </c>
    </row>
    <row r="13" spans="1:18" ht="28.5" thickBot="1" x14ac:dyDescent="0.4">
      <c r="A13" s="127">
        <v>11</v>
      </c>
      <c r="B13" s="127"/>
      <c r="C13" s="129" t="s">
        <v>435</v>
      </c>
      <c r="D13" s="136" t="s">
        <v>398</v>
      </c>
      <c r="F13" s="131"/>
      <c r="G13" s="128"/>
      <c r="H13" s="128"/>
      <c r="I13" s="132"/>
      <c r="K13" s="534"/>
      <c r="L13" s="138" t="s">
        <v>436</v>
      </c>
      <c r="M13" s="140" t="s">
        <v>144</v>
      </c>
      <c r="N13" s="141" t="s">
        <v>83</v>
      </c>
      <c r="O13" s="140" t="s">
        <v>144</v>
      </c>
      <c r="P13" s="141" t="s">
        <v>83</v>
      </c>
      <c r="Q13" s="147" t="s">
        <v>155</v>
      </c>
      <c r="R13" s="141" t="s">
        <v>83</v>
      </c>
    </row>
    <row r="14" spans="1:18" ht="84.5" thickBot="1" x14ac:dyDescent="0.4">
      <c r="A14" s="127">
        <v>12</v>
      </c>
      <c r="B14" s="127"/>
      <c r="C14" s="142" t="s">
        <v>437</v>
      </c>
      <c r="D14" s="136" t="s">
        <v>398</v>
      </c>
      <c r="K14" s="532" t="s">
        <v>21</v>
      </c>
      <c r="L14" s="138" t="s">
        <v>167</v>
      </c>
      <c r="M14" s="140" t="s">
        <v>144</v>
      </c>
      <c r="N14" s="139" t="s">
        <v>78</v>
      </c>
      <c r="O14" s="140" t="s">
        <v>144</v>
      </c>
      <c r="P14" s="141" t="s">
        <v>83</v>
      </c>
      <c r="Q14" s="140" t="s">
        <v>144</v>
      </c>
      <c r="R14" s="141" t="s">
        <v>83</v>
      </c>
    </row>
    <row r="15" spans="1:18" ht="14.5" thickBot="1" x14ac:dyDescent="0.4">
      <c r="A15" s="127">
        <v>13</v>
      </c>
      <c r="B15" s="127"/>
      <c r="C15" s="129" t="s">
        <v>438</v>
      </c>
      <c r="D15" s="136" t="s">
        <v>398</v>
      </c>
      <c r="K15" s="534"/>
      <c r="L15" s="138" t="s">
        <v>169</v>
      </c>
      <c r="M15" s="140" t="s">
        <v>144</v>
      </c>
      <c r="N15" s="141" t="s">
        <v>83</v>
      </c>
      <c r="O15" s="140" t="s">
        <v>144</v>
      </c>
      <c r="P15" s="141" t="s">
        <v>83</v>
      </c>
      <c r="Q15" s="147" t="s">
        <v>155</v>
      </c>
      <c r="R15" s="141" t="s">
        <v>83</v>
      </c>
    </row>
    <row r="16" spans="1:18" ht="84" x14ac:dyDescent="0.35">
      <c r="A16" s="127">
        <v>14</v>
      </c>
      <c r="B16" s="127"/>
      <c r="C16" s="144" t="s">
        <v>439</v>
      </c>
      <c r="D16" s="148" t="s">
        <v>440</v>
      </c>
      <c r="K16" s="149" t="s">
        <v>441</v>
      </c>
      <c r="M16" s="123"/>
      <c r="N16" s="123"/>
      <c r="O16" s="123"/>
    </row>
    <row r="17" spans="1:10" x14ac:dyDescent="0.35">
      <c r="A17" s="127">
        <v>15</v>
      </c>
      <c r="B17" s="127" t="s">
        <v>442</v>
      </c>
      <c r="C17" s="144"/>
      <c r="D17" s="148"/>
    </row>
    <row r="18" spans="1:10" ht="56" x14ac:dyDescent="0.35">
      <c r="A18" s="127">
        <v>16</v>
      </c>
      <c r="B18" s="127"/>
      <c r="C18" s="144" t="s">
        <v>443</v>
      </c>
      <c r="D18" s="145" t="s">
        <v>444</v>
      </c>
    </row>
    <row r="19" spans="1:10" x14ac:dyDescent="0.35">
      <c r="A19" s="122"/>
      <c r="D19" s="148"/>
    </row>
    <row r="20" spans="1:10" s="154" customFormat="1" x14ac:dyDescent="0.35">
      <c r="A20" s="150"/>
      <c r="B20" s="151" t="s">
        <v>445</v>
      </c>
      <c r="C20" s="152" t="s">
        <v>446</v>
      </c>
      <c r="D20" s="153"/>
      <c r="E20" s="150"/>
      <c r="H20" s="155"/>
      <c r="I20" s="155"/>
      <c r="J20" s="155"/>
    </row>
    <row r="21" spans="1:10" ht="61.5" customHeight="1" x14ac:dyDescent="0.35">
      <c r="B21" s="156" t="s">
        <v>447</v>
      </c>
      <c r="C21" s="142" t="s">
        <v>448</v>
      </c>
      <c r="D21" s="157" t="s">
        <v>398</v>
      </c>
    </row>
    <row r="22" spans="1:10" ht="112" x14ac:dyDescent="0.35">
      <c r="B22" s="158" t="s">
        <v>449</v>
      </c>
      <c r="C22" s="142" t="s">
        <v>450</v>
      </c>
      <c r="D22" s="157" t="s">
        <v>398</v>
      </c>
    </row>
    <row r="23" spans="1:10" ht="28" x14ac:dyDescent="0.35">
      <c r="B23" s="158" t="s">
        <v>451</v>
      </c>
      <c r="C23" s="142" t="s">
        <v>452</v>
      </c>
      <c r="D23" s="157" t="s">
        <v>398</v>
      </c>
    </row>
    <row r="24" spans="1:10" ht="28" x14ac:dyDescent="0.35">
      <c r="B24" s="159" t="s">
        <v>453</v>
      </c>
      <c r="C24" s="160" t="s">
        <v>454</v>
      </c>
      <c r="D24" s="145" t="s">
        <v>417</v>
      </c>
    </row>
    <row r="25" spans="1:10" ht="42" x14ac:dyDescent="0.35">
      <c r="B25" s="159" t="s">
        <v>455</v>
      </c>
      <c r="C25" s="161" t="s">
        <v>456</v>
      </c>
      <c r="D25" s="162" t="s">
        <v>457</v>
      </c>
    </row>
    <row r="26" spans="1:10" ht="77.5" x14ac:dyDescent="0.35">
      <c r="B26" s="159" t="s">
        <v>458</v>
      </c>
      <c r="C26" s="161" t="s">
        <v>459</v>
      </c>
      <c r="D26" s="162" t="s">
        <v>460</v>
      </c>
    </row>
    <row r="27" spans="1:10" ht="15.5" x14ac:dyDescent="0.35">
      <c r="B27" s="159" t="s">
        <v>461</v>
      </c>
      <c r="C27" s="161" t="s">
        <v>462</v>
      </c>
      <c r="D27" s="162" t="s">
        <v>460</v>
      </c>
    </row>
    <row r="28" spans="1:10" ht="28" x14ac:dyDescent="0.35">
      <c r="B28" s="151" t="s">
        <v>463</v>
      </c>
      <c r="C28" s="152"/>
      <c r="D28" s="153"/>
    </row>
    <row r="29" spans="1:10" ht="28" x14ac:dyDescent="0.35">
      <c r="B29" s="127" t="s">
        <v>464</v>
      </c>
      <c r="C29" s="163" t="s">
        <v>465</v>
      </c>
      <c r="D29" s="164" t="s">
        <v>398</v>
      </c>
    </row>
    <row r="30" spans="1:10" ht="42" x14ac:dyDescent="0.35">
      <c r="B30" s="127" t="s">
        <v>466</v>
      </c>
      <c r="C30" s="163" t="s">
        <v>467</v>
      </c>
      <c r="D30" s="164" t="s">
        <v>398</v>
      </c>
    </row>
    <row r="31" spans="1:10" x14ac:dyDescent="0.35">
      <c r="B31" s="127" t="s">
        <v>468</v>
      </c>
      <c r="C31" s="161" t="s">
        <v>469</v>
      </c>
      <c r="D31" s="148"/>
    </row>
    <row r="32" spans="1:10" ht="28" x14ac:dyDescent="0.35">
      <c r="B32" s="127" t="s">
        <v>470</v>
      </c>
      <c r="C32" s="165" t="s">
        <v>471</v>
      </c>
      <c r="D32" s="164" t="s">
        <v>398</v>
      </c>
    </row>
    <row r="33" spans="1:4" ht="70" x14ac:dyDescent="0.35">
      <c r="B33" s="127" t="s">
        <v>472</v>
      </c>
      <c r="C33" s="165" t="s">
        <v>473</v>
      </c>
      <c r="D33" s="164" t="s">
        <v>398</v>
      </c>
    </row>
    <row r="34" spans="1:4" x14ac:dyDescent="0.35">
      <c r="B34" s="127" t="s">
        <v>474</v>
      </c>
      <c r="C34" s="163" t="s">
        <v>475</v>
      </c>
      <c r="D34" s="164" t="s">
        <v>398</v>
      </c>
    </row>
    <row r="36" spans="1:4" x14ac:dyDescent="0.35">
      <c r="C36" s="166" t="s">
        <v>476</v>
      </c>
      <c r="D36" s="153"/>
    </row>
    <row r="37" spans="1:4" ht="98" x14ac:dyDescent="0.35">
      <c r="A37" s="167">
        <v>1</v>
      </c>
      <c r="B37" s="127"/>
      <c r="C37" s="168" t="s">
        <v>477</v>
      </c>
      <c r="D37" s="164" t="s">
        <v>398</v>
      </c>
    </row>
    <row r="38" spans="1:4" ht="28" x14ac:dyDescent="0.35">
      <c r="A38" s="167">
        <v>2</v>
      </c>
      <c r="B38" s="127"/>
      <c r="C38" s="168" t="s">
        <v>478</v>
      </c>
      <c r="D38" s="169" t="s">
        <v>479</v>
      </c>
    </row>
    <row r="39" spans="1:4" x14ac:dyDescent="0.35">
      <c r="A39" s="167">
        <v>3</v>
      </c>
      <c r="B39" s="127"/>
      <c r="C39" s="168" t="s">
        <v>471</v>
      </c>
      <c r="D39" s="164" t="s">
        <v>398</v>
      </c>
    </row>
    <row r="40" spans="1:4" ht="28" x14ac:dyDescent="0.35">
      <c r="A40" s="167">
        <v>4</v>
      </c>
      <c r="B40" s="170"/>
      <c r="C40" s="171" t="s">
        <v>480</v>
      </c>
      <c r="D40" s="172" t="s">
        <v>398</v>
      </c>
    </row>
    <row r="41" spans="1:4" x14ac:dyDescent="0.35">
      <c r="B41" s="151" t="s">
        <v>481</v>
      </c>
      <c r="C41" s="151" t="s">
        <v>482</v>
      </c>
      <c r="D41" s="151"/>
    </row>
    <row r="42" spans="1:4" ht="28" x14ac:dyDescent="0.35">
      <c r="B42" s="173" t="s">
        <v>483</v>
      </c>
      <c r="C42" s="173" t="s">
        <v>484</v>
      </c>
      <c r="D42" s="173" t="s">
        <v>485</v>
      </c>
    </row>
    <row r="43" spans="1:4" ht="28" x14ac:dyDescent="0.35">
      <c r="B43" s="173" t="s">
        <v>486</v>
      </c>
      <c r="C43" s="173" t="s">
        <v>487</v>
      </c>
      <c r="D43" s="146" t="s">
        <v>398</v>
      </c>
    </row>
    <row r="44" spans="1:4" ht="28" x14ac:dyDescent="0.35">
      <c r="B44" s="173" t="s">
        <v>488</v>
      </c>
      <c r="C44" s="173" t="s">
        <v>489</v>
      </c>
      <c r="D44" s="146" t="s">
        <v>398</v>
      </c>
    </row>
    <row r="45" spans="1:4" x14ac:dyDescent="0.35">
      <c r="B45" s="173" t="s">
        <v>490</v>
      </c>
      <c r="C45" s="173" t="s">
        <v>491</v>
      </c>
      <c r="D45" s="146" t="s">
        <v>398</v>
      </c>
    </row>
    <row r="46" spans="1:4" ht="28" x14ac:dyDescent="0.35">
      <c r="B46" s="173" t="s">
        <v>492</v>
      </c>
      <c r="C46" s="173" t="s">
        <v>493</v>
      </c>
      <c r="D46" s="146" t="s">
        <v>398</v>
      </c>
    </row>
    <row r="47" spans="1:4" x14ac:dyDescent="0.35">
      <c r="B47" s="127" t="s">
        <v>494</v>
      </c>
      <c r="C47" s="127" t="s">
        <v>495</v>
      </c>
      <c r="D47" s="127"/>
    </row>
    <row r="48" spans="1:4" ht="28" x14ac:dyDescent="0.35">
      <c r="B48" s="173" t="s">
        <v>496</v>
      </c>
      <c r="C48" s="173" t="s">
        <v>497</v>
      </c>
      <c r="D48" s="174" t="s">
        <v>213</v>
      </c>
    </row>
    <row r="49" spans="2:4" x14ac:dyDescent="0.35">
      <c r="B49" s="151" t="s">
        <v>481</v>
      </c>
      <c r="C49" s="151" t="s">
        <v>498</v>
      </c>
      <c r="D49" s="151"/>
    </row>
    <row r="50" spans="2:4" x14ac:dyDescent="0.35">
      <c r="B50" s="173"/>
      <c r="C50" s="173" t="s">
        <v>499</v>
      </c>
      <c r="D50" s="146" t="s">
        <v>398</v>
      </c>
    </row>
    <row r="51" spans="2:4" ht="28" x14ac:dyDescent="0.35">
      <c r="B51" s="173"/>
      <c r="C51" s="173" t="s">
        <v>500</v>
      </c>
      <c r="D51" s="146" t="s">
        <v>398</v>
      </c>
    </row>
    <row r="52" spans="2:4" ht="56" x14ac:dyDescent="0.35">
      <c r="B52" s="173"/>
      <c r="C52" s="173" t="s">
        <v>501</v>
      </c>
      <c r="D52" s="146" t="s">
        <v>398</v>
      </c>
    </row>
    <row r="53" spans="2:4" ht="28" x14ac:dyDescent="0.35">
      <c r="B53" s="173"/>
      <c r="C53" s="173" t="s">
        <v>502</v>
      </c>
      <c r="D53" s="146" t="s">
        <v>398</v>
      </c>
    </row>
    <row r="54" spans="2:4" ht="28" x14ac:dyDescent="0.35">
      <c r="B54" s="173"/>
      <c r="C54" s="173" t="s">
        <v>503</v>
      </c>
      <c r="D54" s="146" t="s">
        <v>398</v>
      </c>
    </row>
    <row r="55" spans="2:4" ht="28" x14ac:dyDescent="0.35">
      <c r="B55" s="173"/>
      <c r="C55" s="173" t="s">
        <v>504</v>
      </c>
      <c r="D55" s="146" t="s">
        <v>398</v>
      </c>
    </row>
    <row r="56" spans="2:4" x14ac:dyDescent="0.35">
      <c r="B56" s="151" t="s">
        <v>505</v>
      </c>
      <c r="C56" s="151" t="s">
        <v>506</v>
      </c>
      <c r="D56" s="151"/>
    </row>
    <row r="57" spans="2:4" x14ac:dyDescent="0.35">
      <c r="B57" s="173"/>
      <c r="C57" s="173" t="s">
        <v>507</v>
      </c>
      <c r="D57" s="146" t="s">
        <v>398</v>
      </c>
    </row>
    <row r="58" spans="2:4" x14ac:dyDescent="0.35">
      <c r="B58" s="173"/>
      <c r="C58" s="173" t="s">
        <v>508</v>
      </c>
      <c r="D58" s="146" t="s">
        <v>398</v>
      </c>
    </row>
    <row r="59" spans="2:4" ht="56" x14ac:dyDescent="0.35">
      <c r="B59" s="127"/>
      <c r="C59" s="173" t="s">
        <v>509</v>
      </c>
      <c r="D59" s="146" t="s">
        <v>398</v>
      </c>
    </row>
    <row r="60" spans="2:4" ht="28" x14ac:dyDescent="0.35">
      <c r="B60" s="173"/>
      <c r="C60" s="175" t="s">
        <v>510</v>
      </c>
      <c r="D60" s="146" t="s">
        <v>398</v>
      </c>
    </row>
    <row r="61" spans="2:4" ht="28" x14ac:dyDescent="0.35">
      <c r="B61" s="129"/>
      <c r="C61" s="175" t="s">
        <v>511</v>
      </c>
      <c r="D61" s="176" t="s">
        <v>512</v>
      </c>
    </row>
    <row r="62" spans="2:4" x14ac:dyDescent="0.35">
      <c r="B62" s="129"/>
      <c r="C62" s="177" t="s">
        <v>513</v>
      </c>
      <c r="D62" s="178" t="s">
        <v>398</v>
      </c>
    </row>
    <row r="63" spans="2:4" x14ac:dyDescent="0.35">
      <c r="B63" s="129"/>
      <c r="C63" s="179" t="s">
        <v>514</v>
      </c>
      <c r="D63" s="180" t="s">
        <v>398</v>
      </c>
    </row>
    <row r="64" spans="2:4" x14ac:dyDescent="0.35">
      <c r="B64" s="173"/>
      <c r="C64" s="179" t="s">
        <v>515</v>
      </c>
      <c r="D64" s="130" t="s">
        <v>398</v>
      </c>
    </row>
    <row r="65" spans="2:4" x14ac:dyDescent="0.35">
      <c r="B65" s="173"/>
      <c r="C65" s="173" t="s">
        <v>516</v>
      </c>
      <c r="D65" s="136" t="s">
        <v>398</v>
      </c>
    </row>
    <row r="66" spans="2:4" x14ac:dyDescent="0.35">
      <c r="B66" s="151" t="s">
        <v>505</v>
      </c>
      <c r="C66" s="151" t="s">
        <v>517</v>
      </c>
      <c r="D66" s="151"/>
    </row>
    <row r="67" spans="2:4" ht="28" x14ac:dyDescent="0.35">
      <c r="C67" s="179" t="s">
        <v>518</v>
      </c>
      <c r="D67" s="130" t="s">
        <v>398</v>
      </c>
    </row>
    <row r="68" spans="2:4" ht="42" x14ac:dyDescent="0.35">
      <c r="C68" s="127" t="s">
        <v>519</v>
      </c>
      <c r="D68" s="181" t="s">
        <v>520</v>
      </c>
    </row>
    <row r="69" spans="2:4" x14ac:dyDescent="0.35">
      <c r="C69" s="182" t="s">
        <v>521</v>
      </c>
      <c r="D69" s="130" t="s">
        <v>522</v>
      </c>
    </row>
    <row r="70" spans="2:4" x14ac:dyDescent="0.35">
      <c r="C70" s="182" t="s">
        <v>523</v>
      </c>
      <c r="D70" s="130" t="s">
        <v>398</v>
      </c>
    </row>
    <row r="71" spans="2:4" ht="35" customHeight="1" x14ac:dyDescent="0.35">
      <c r="C71" s="173" t="s">
        <v>524</v>
      </c>
      <c r="D71" s="130" t="s">
        <v>398</v>
      </c>
    </row>
    <row r="72" spans="2:4" ht="42" x14ac:dyDescent="0.35">
      <c r="C72" s="173" t="s">
        <v>525</v>
      </c>
      <c r="D72" s="130" t="s">
        <v>398</v>
      </c>
    </row>
    <row r="73" spans="2:4" x14ac:dyDescent="0.35">
      <c r="B73" s="151" t="s">
        <v>505</v>
      </c>
      <c r="C73" s="151" t="s">
        <v>526</v>
      </c>
      <c r="D73" s="151"/>
    </row>
    <row r="74" spans="2:4" ht="28" x14ac:dyDescent="0.35">
      <c r="C74" s="173" t="s">
        <v>527</v>
      </c>
      <c r="D74" s="130" t="s">
        <v>398</v>
      </c>
    </row>
    <row r="75" spans="2:4" x14ac:dyDescent="0.35">
      <c r="B75" s="151" t="s">
        <v>505</v>
      </c>
      <c r="C75" s="151" t="s">
        <v>528</v>
      </c>
      <c r="D75" s="151"/>
    </row>
    <row r="76" spans="2:4" ht="28" x14ac:dyDescent="0.35">
      <c r="C76" s="173" t="s">
        <v>529</v>
      </c>
      <c r="D76" s="130" t="s">
        <v>398</v>
      </c>
    </row>
    <row r="77" spans="2:4" x14ac:dyDescent="0.35">
      <c r="B77" s="151" t="s">
        <v>505</v>
      </c>
      <c r="C77" s="151" t="s">
        <v>530</v>
      </c>
      <c r="D77" s="151"/>
    </row>
    <row r="78" spans="2:4" ht="28" x14ac:dyDescent="0.35">
      <c r="C78" s="173" t="s">
        <v>531</v>
      </c>
      <c r="D78" s="130" t="s">
        <v>398</v>
      </c>
    </row>
    <row r="79" spans="2:4" x14ac:dyDescent="0.35">
      <c r="B79" s="151" t="s">
        <v>505</v>
      </c>
      <c r="C79" s="151" t="s">
        <v>532</v>
      </c>
      <c r="D79" s="151"/>
    </row>
    <row r="80" spans="2:4" ht="98" x14ac:dyDescent="0.35">
      <c r="C80" s="173" t="s">
        <v>533</v>
      </c>
      <c r="D80" s="130" t="s">
        <v>398</v>
      </c>
    </row>
    <row r="81" spans="2:4" ht="28" x14ac:dyDescent="0.35">
      <c r="C81" s="173" t="s">
        <v>534</v>
      </c>
      <c r="D81" s="130" t="s">
        <v>398</v>
      </c>
    </row>
    <row r="82" spans="2:4" x14ac:dyDescent="0.35">
      <c r="B82" s="151" t="s">
        <v>505</v>
      </c>
      <c r="C82" s="151" t="s">
        <v>535</v>
      </c>
      <c r="D82" s="151"/>
    </row>
    <row r="83" spans="2:4" x14ac:dyDescent="0.35">
      <c r="C83" s="173" t="s">
        <v>536</v>
      </c>
      <c r="D83" s="174" t="s">
        <v>537</v>
      </c>
    </row>
    <row r="84" spans="2:4" ht="28" x14ac:dyDescent="0.35">
      <c r="C84" s="173" t="s">
        <v>538</v>
      </c>
      <c r="D84" s="174" t="s">
        <v>537</v>
      </c>
    </row>
    <row r="85" spans="2:4" x14ac:dyDescent="0.35">
      <c r="C85" s="173" t="s">
        <v>539</v>
      </c>
      <c r="D85" s="174" t="s">
        <v>537</v>
      </c>
    </row>
    <row r="86" spans="2:4" x14ac:dyDescent="0.35">
      <c r="B86" s="151" t="s">
        <v>505</v>
      </c>
      <c r="C86" s="151" t="s">
        <v>540</v>
      </c>
      <c r="D86" s="151"/>
    </row>
    <row r="87" spans="2:4" ht="28" x14ac:dyDescent="0.35">
      <c r="C87" s="183" t="s">
        <v>541</v>
      </c>
      <c r="D87" s="184" t="s">
        <v>537</v>
      </c>
    </row>
    <row r="88" spans="2:4" x14ac:dyDescent="0.35">
      <c r="C88" s="183" t="s">
        <v>542</v>
      </c>
      <c r="D88" s="184" t="s">
        <v>537</v>
      </c>
    </row>
    <row r="89" spans="2:4" ht="28" x14ac:dyDescent="0.35">
      <c r="C89" s="183" t="s">
        <v>543</v>
      </c>
      <c r="D89" s="184" t="s">
        <v>537</v>
      </c>
    </row>
    <row r="90" spans="2:4" x14ac:dyDescent="0.35">
      <c r="C90" s="183" t="s">
        <v>544</v>
      </c>
      <c r="D90" s="184" t="s">
        <v>537</v>
      </c>
    </row>
    <row r="91" spans="2:4" ht="28" x14ac:dyDescent="0.35">
      <c r="C91" s="183" t="s">
        <v>545</v>
      </c>
      <c r="D91" s="184" t="s">
        <v>537</v>
      </c>
    </row>
    <row r="92" spans="2:4" x14ac:dyDescent="0.35">
      <c r="B92" s="151" t="s">
        <v>505</v>
      </c>
      <c r="C92" s="151" t="s">
        <v>546</v>
      </c>
      <c r="D92" s="151"/>
    </row>
    <row r="93" spans="2:4" ht="28" x14ac:dyDescent="0.35">
      <c r="C93" s="183" t="s">
        <v>547</v>
      </c>
      <c r="D93" s="184" t="s">
        <v>537</v>
      </c>
    </row>
    <row r="94" spans="2:4" x14ac:dyDescent="0.35">
      <c r="B94" s="151" t="s">
        <v>505</v>
      </c>
      <c r="C94" s="151" t="s">
        <v>548</v>
      </c>
      <c r="D94" s="151"/>
    </row>
    <row r="95" spans="2:4" x14ac:dyDescent="0.35">
      <c r="C95" s="183" t="s">
        <v>549</v>
      </c>
      <c r="D95" s="184" t="s">
        <v>537</v>
      </c>
    </row>
    <row r="96" spans="2:4" x14ac:dyDescent="0.35">
      <c r="B96" s="151" t="s">
        <v>505</v>
      </c>
      <c r="C96" s="151" t="s">
        <v>550</v>
      </c>
      <c r="D96" s="151"/>
    </row>
    <row r="97" spans="2:5" ht="28" x14ac:dyDescent="0.35">
      <c r="C97" s="183" t="s">
        <v>551</v>
      </c>
      <c r="D97" s="184" t="s">
        <v>537</v>
      </c>
    </row>
    <row r="98" spans="2:5" x14ac:dyDescent="0.35">
      <c r="B98" s="151" t="s">
        <v>505</v>
      </c>
      <c r="C98" s="151" t="s">
        <v>552</v>
      </c>
      <c r="D98" s="151"/>
    </row>
    <row r="99" spans="2:5" ht="28" x14ac:dyDescent="0.35">
      <c r="C99" s="183" t="s">
        <v>553</v>
      </c>
      <c r="D99" s="184" t="s">
        <v>537</v>
      </c>
    </row>
    <row r="100" spans="2:5" x14ac:dyDescent="0.35">
      <c r="B100" s="151" t="s">
        <v>505</v>
      </c>
      <c r="C100" s="151" t="s">
        <v>554</v>
      </c>
      <c r="D100" s="151"/>
    </row>
    <row r="101" spans="2:5" ht="28" x14ac:dyDescent="0.35">
      <c r="C101" s="183" t="s">
        <v>555</v>
      </c>
      <c r="D101" s="184" t="s">
        <v>537</v>
      </c>
    </row>
    <row r="102" spans="2:5" ht="33" customHeight="1" x14ac:dyDescent="0.35">
      <c r="C102" s="183" t="s">
        <v>556</v>
      </c>
      <c r="D102" s="184" t="s">
        <v>537</v>
      </c>
    </row>
    <row r="103" spans="2:5" ht="32.25" customHeight="1" x14ac:dyDescent="0.35">
      <c r="C103" s="183" t="s">
        <v>557</v>
      </c>
      <c r="D103" s="184" t="s">
        <v>537</v>
      </c>
    </row>
    <row r="104" spans="2:5" x14ac:dyDescent="0.35">
      <c r="C104" s="183" t="s">
        <v>558</v>
      </c>
      <c r="D104" s="184" t="s">
        <v>537</v>
      </c>
    </row>
    <row r="105" spans="2:5" x14ac:dyDescent="0.35">
      <c r="C105" s="183" t="s">
        <v>559</v>
      </c>
      <c r="D105" s="184" t="s">
        <v>537</v>
      </c>
    </row>
    <row r="106" spans="2:5" x14ac:dyDescent="0.35">
      <c r="B106" s="151" t="s">
        <v>505</v>
      </c>
      <c r="C106" s="151" t="s">
        <v>560</v>
      </c>
      <c r="D106" s="151"/>
    </row>
    <row r="107" spans="2:5" ht="28" x14ac:dyDescent="0.35">
      <c r="C107" s="183" t="s">
        <v>561</v>
      </c>
      <c r="D107" s="184" t="s">
        <v>537</v>
      </c>
      <c r="E107" s="120"/>
    </row>
    <row r="108" spans="2:5" ht="42" x14ac:dyDescent="0.35">
      <c r="C108" s="183" t="s">
        <v>562</v>
      </c>
      <c r="D108" s="184" t="s">
        <v>537</v>
      </c>
    </row>
    <row r="109" spans="2:5" ht="28" x14ac:dyDescent="0.35">
      <c r="C109" s="183" t="s">
        <v>563</v>
      </c>
      <c r="D109" s="184" t="s">
        <v>537</v>
      </c>
    </row>
    <row r="110" spans="2:5" ht="28" x14ac:dyDescent="0.35">
      <c r="C110" s="183" t="s">
        <v>564</v>
      </c>
      <c r="D110" s="184" t="s">
        <v>537</v>
      </c>
    </row>
    <row r="111" spans="2:5" x14ac:dyDescent="0.35">
      <c r="C111" s="183" t="s">
        <v>565</v>
      </c>
      <c r="D111" s="184" t="s">
        <v>537</v>
      </c>
    </row>
    <row r="112" spans="2:5" x14ac:dyDescent="0.35">
      <c r="B112" s="151" t="s">
        <v>505</v>
      </c>
      <c r="C112" s="151" t="s">
        <v>566</v>
      </c>
      <c r="D112" s="151"/>
    </row>
    <row r="113" spans="2:4" ht="28" x14ac:dyDescent="0.35">
      <c r="C113" s="183" t="s">
        <v>567</v>
      </c>
      <c r="D113" s="184" t="s">
        <v>537</v>
      </c>
    </row>
    <row r="114" spans="2:4" x14ac:dyDescent="0.35">
      <c r="C114" s="183" t="s">
        <v>568</v>
      </c>
      <c r="D114" s="184" t="s">
        <v>537</v>
      </c>
    </row>
    <row r="115" spans="2:4" ht="84" x14ac:dyDescent="0.35">
      <c r="C115" s="127" t="s">
        <v>569</v>
      </c>
      <c r="D115" s="197" t="s">
        <v>570</v>
      </c>
    </row>
    <row r="116" spans="2:4" x14ac:dyDescent="0.35">
      <c r="B116" s="151" t="s">
        <v>505</v>
      </c>
      <c r="C116" s="151" t="s">
        <v>571</v>
      </c>
      <c r="D116" s="151"/>
    </row>
    <row r="117" spans="2:4" ht="42" x14ac:dyDescent="0.35">
      <c r="C117" s="183" t="s">
        <v>572</v>
      </c>
      <c r="D117" s="184" t="s">
        <v>537</v>
      </c>
    </row>
    <row r="118" spans="2:4" ht="28" x14ac:dyDescent="0.35">
      <c r="C118" s="183" t="s">
        <v>573</v>
      </c>
      <c r="D118" s="184" t="s">
        <v>537</v>
      </c>
    </row>
    <row r="119" spans="2:4" ht="42" x14ac:dyDescent="0.35">
      <c r="C119" s="183" t="s">
        <v>574</v>
      </c>
      <c r="D119" s="184" t="s">
        <v>537</v>
      </c>
    </row>
    <row r="120" spans="2:4" ht="28" x14ac:dyDescent="0.35">
      <c r="C120" s="182" t="s">
        <v>575</v>
      </c>
      <c r="D120" s="296" t="s">
        <v>537</v>
      </c>
    </row>
    <row r="121" spans="2:4" ht="28" x14ac:dyDescent="0.35">
      <c r="C121" s="182" t="s">
        <v>576</v>
      </c>
      <c r="D121" s="296" t="s">
        <v>537</v>
      </c>
    </row>
    <row r="122" spans="2:4" ht="224" x14ac:dyDescent="0.35">
      <c r="C122" s="182" t="s">
        <v>577</v>
      </c>
      <c r="D122" s="296" t="s">
        <v>537</v>
      </c>
    </row>
    <row r="123" spans="2:4" ht="28" x14ac:dyDescent="0.35">
      <c r="C123" s="182" t="s">
        <v>578</v>
      </c>
      <c r="D123" s="296" t="s">
        <v>537</v>
      </c>
    </row>
    <row r="124" spans="2:4" ht="28" x14ac:dyDescent="0.35">
      <c r="C124" s="182" t="s">
        <v>579</v>
      </c>
      <c r="D124" s="296" t="s">
        <v>537</v>
      </c>
    </row>
    <row r="125" spans="2:4" x14ac:dyDescent="0.35">
      <c r="B125" s="151" t="s">
        <v>505</v>
      </c>
      <c r="C125" s="151" t="s">
        <v>580</v>
      </c>
      <c r="D125" s="151"/>
    </row>
    <row r="126" spans="2:4" ht="28" x14ac:dyDescent="0.35">
      <c r="C126" s="182" t="s">
        <v>581</v>
      </c>
      <c r="D126" s="296" t="s">
        <v>537</v>
      </c>
    </row>
    <row r="127" spans="2:4" x14ac:dyDescent="0.35">
      <c r="B127" s="151" t="s">
        <v>505</v>
      </c>
      <c r="C127" s="151" t="s">
        <v>582</v>
      </c>
      <c r="D127" s="151"/>
    </row>
    <row r="128" spans="2:4" x14ac:dyDescent="0.35">
      <c r="C128" s="182" t="s">
        <v>583</v>
      </c>
      <c r="D128" s="296" t="s">
        <v>537</v>
      </c>
    </row>
    <row r="129" spans="2:4" x14ac:dyDescent="0.35">
      <c r="C129" s="182" t="s">
        <v>584</v>
      </c>
      <c r="D129" s="296" t="s">
        <v>537</v>
      </c>
    </row>
    <row r="130" spans="2:4" x14ac:dyDescent="0.35">
      <c r="B130" s="151" t="s">
        <v>599</v>
      </c>
      <c r="C130" s="151" t="s">
        <v>600</v>
      </c>
      <c r="D130" s="151"/>
    </row>
    <row r="131" spans="2:4" x14ac:dyDescent="0.35">
      <c r="C131" s="182" t="s">
        <v>608</v>
      </c>
      <c r="D131" s="296" t="s">
        <v>537</v>
      </c>
    </row>
    <row r="132" spans="2:4" x14ac:dyDescent="0.35">
      <c r="C132" s="182" t="s">
        <v>609</v>
      </c>
      <c r="D132" s="296" t="s">
        <v>537</v>
      </c>
    </row>
    <row r="133" spans="2:4" x14ac:dyDescent="0.35">
      <c r="C133" s="182" t="s">
        <v>610</v>
      </c>
      <c r="D133" s="296" t="s">
        <v>537</v>
      </c>
    </row>
    <row r="134" spans="2:4" x14ac:dyDescent="0.35">
      <c r="C134" s="182" t="s">
        <v>611</v>
      </c>
      <c r="D134" s="296" t="s">
        <v>537</v>
      </c>
    </row>
    <row r="135" spans="2:4" x14ac:dyDescent="0.35">
      <c r="B135" s="151" t="s">
        <v>612</v>
      </c>
      <c r="C135" s="151" t="s">
        <v>613</v>
      </c>
      <c r="D135" s="151"/>
    </row>
    <row r="202" spans="2:2" x14ac:dyDescent="0.35">
      <c r="B202" s="185"/>
    </row>
  </sheetData>
  <mergeCells count="8">
    <mergeCell ref="P2:R2"/>
    <mergeCell ref="K4:K5"/>
    <mergeCell ref="K6:K7"/>
    <mergeCell ref="C8:C9"/>
    <mergeCell ref="K8:K10"/>
    <mergeCell ref="K11:K13"/>
    <mergeCell ref="K14:K15"/>
    <mergeCell ref="M2:O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ANOP Assessment v1.0</vt:lpstr>
      <vt:lpstr>Results - tabular format</vt:lpstr>
      <vt:lpstr>Preferred LOS</vt:lpstr>
      <vt:lpstr>User Guide</vt:lpstr>
      <vt:lpstr>Data validation</vt:lpstr>
      <vt:lpstr>Example assessment</vt:lpstr>
      <vt:lpstr>Questions &amp; Update notes</vt:lpstr>
      <vt:lpstr>'ANOP Assessment v1.0'!Print_Area</vt:lpstr>
      <vt:lpstr>'Example assessment'!Print_Area</vt:lpstr>
      <vt:lpstr>'User Guide'!Print_Area</vt:lpstr>
      <vt:lpstr>'ANOP Assessment v1.0'!Print_Titles</vt:lpstr>
      <vt:lpstr>'Example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jocel</dc:creator>
  <cp:keywords/>
  <dc:description/>
  <cp:lastModifiedBy>Rob Douglas-Jones</cp:lastModifiedBy>
  <cp:revision/>
  <cp:lastPrinted>2025-08-05T23:50:55Z</cp:lastPrinted>
  <dcterms:created xsi:type="dcterms:W3CDTF">2021-09-08T03:40:47Z</dcterms:created>
  <dcterms:modified xsi:type="dcterms:W3CDTF">2025-08-05T23:51:17Z</dcterms:modified>
  <cp:category/>
  <cp:contentStatus/>
</cp:coreProperties>
</file>