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ttps://aucklandtransport-my.sharepoint.com/personal/jose_rodriguezaraya_at_govt_nz/Documents/Desktop/"/>
    </mc:Choice>
  </mc:AlternateContent>
  <xr:revisionPtr revIDLastSave="2" documentId="8_{93D7DFB3-E8D6-4F9E-BD1D-FAAF7F15AB02}" xr6:coauthVersionLast="47" xr6:coauthVersionMax="47" xr10:uidLastSave="{EA96DB77-7D15-4869-86D8-103502B86205}"/>
  <workbookProtection workbookAlgorithmName="SHA-512" workbookHashValue="jux0p7suzcPK6hp4oMTUMTh2tjlvTSPueMJyFtNUadITyOKzrVAZ0zYDgjP3CotgsWwaJgXjYZhyD7eU0FHJ+A==" workbookSaltValue="QVVE/DMkDvvSjcIxxEqpSw==" workbookSpinCount="100000" lockStructure="1"/>
  <bookViews>
    <workbookView xWindow="-120" yWindow="-120" windowWidth="29040" windowHeight="17520" xr2:uid="{00000000-000D-0000-FFFF-FFFF00000000}"/>
  </bookViews>
  <sheets>
    <sheet name="ASD-SSD-SiSD and modified" sheetId="1" r:id="rId1"/>
    <sheet name="DS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5" i="2" l="1"/>
  <c r="T66" i="2"/>
  <c r="T65" i="2"/>
  <c r="S65" i="2"/>
  <c r="O68" i="2" l="1"/>
  <c r="G17" i="1"/>
  <c r="N62" i="2"/>
  <c r="E81" i="2" l="1"/>
  <c r="N74" i="2" l="1"/>
  <c r="N75" i="2"/>
  <c r="N76" i="2"/>
  <c r="N77" i="2"/>
  <c r="N78" i="2"/>
  <c r="N79" i="2"/>
  <c r="N80" i="2"/>
  <c r="N81" i="2"/>
  <c r="N82" i="2"/>
  <c r="N83" i="2"/>
  <c r="N84" i="2"/>
  <c r="N85" i="2"/>
  <c r="N86" i="2"/>
  <c r="N87" i="2"/>
  <c r="N88" i="2"/>
  <c r="N89" i="2"/>
  <c r="N90" i="2"/>
  <c r="N91" i="2"/>
  <c r="N92" i="2"/>
  <c r="N73" i="2"/>
  <c r="F13" i="2" l="1"/>
  <c r="E13" i="2"/>
  <c r="G92" i="2"/>
  <c r="B21" i="1"/>
  <c r="E112" i="2" l="1"/>
  <c r="D112" i="2"/>
  <c r="E12" i="2" s="1"/>
  <c r="E108" i="2" l="1"/>
  <c r="E111" i="2"/>
  <c r="D111" i="2"/>
  <c r="D108" i="2"/>
  <c r="D107" i="2"/>
  <c r="D106" i="2"/>
  <c r="G74" i="2"/>
  <c r="C76" i="2" l="1"/>
  <c r="C94" i="2"/>
  <c r="D92" i="2" s="1"/>
  <c r="F94" i="2"/>
  <c r="E110" i="2"/>
  <c r="D110" i="2"/>
  <c r="F76" i="2"/>
  <c r="N63" i="2" l="1"/>
  <c r="N64" i="2"/>
  <c r="E74" i="2"/>
  <c r="D74" i="2"/>
  <c r="E92" i="2"/>
  <c r="E93" i="2" s="1"/>
  <c r="D93" i="2" s="1"/>
  <c r="C95" i="2" s="1"/>
  <c r="F12" i="1"/>
  <c r="H4" i="1"/>
  <c r="G93" i="2" l="1"/>
  <c r="G94" i="2"/>
  <c r="E95" i="2"/>
  <c r="F95" i="2" s="1"/>
  <c r="D95" i="2"/>
  <c r="G95" i="2" s="1"/>
  <c r="C96" i="2"/>
  <c r="F93" i="2"/>
  <c r="F92" i="2" s="1"/>
  <c r="F13" i="1"/>
  <c r="D96" i="2" l="1"/>
  <c r="E96" i="2" s="1"/>
  <c r="F96" i="2" s="1"/>
  <c r="F16" i="1"/>
  <c r="B23" i="1"/>
  <c r="G96" i="2" l="1"/>
  <c r="G3" i="1"/>
  <c r="A24" i="1" l="1"/>
  <c r="B22" i="1" l="1"/>
  <c r="F7" i="1"/>
  <c r="Q7" i="1"/>
  <c r="Q8" i="1"/>
  <c r="Q9" i="1"/>
  <c r="Q10" i="1"/>
  <c r="Q11" i="1"/>
  <c r="Q12" i="1"/>
  <c r="Q14" i="1"/>
  <c r="Q17" i="1"/>
  <c r="Q19" i="1"/>
  <c r="Q20" i="1"/>
  <c r="Q6" i="1"/>
  <c r="O6" i="1"/>
  <c r="O7" i="1"/>
  <c r="O8" i="1"/>
  <c r="O9" i="1"/>
  <c r="O10" i="1"/>
  <c r="O11" i="1"/>
  <c r="O12" i="1"/>
  <c r="O14" i="1"/>
  <c r="O17" i="1"/>
  <c r="O19" i="1"/>
  <c r="O20" i="1"/>
  <c r="M19" i="1"/>
  <c r="M20" i="1"/>
  <c r="M7" i="1"/>
  <c r="M8" i="1"/>
  <c r="M9" i="1"/>
  <c r="M6" i="1"/>
  <c r="M11" i="1"/>
  <c r="M12" i="1"/>
  <c r="M14" i="1"/>
  <c r="M17" i="1"/>
  <c r="M10" i="1"/>
  <c r="B20" i="1" l="1"/>
  <c r="F8" i="1" s="1"/>
  <c r="F14" i="1"/>
  <c r="F11" i="1"/>
  <c r="F10" i="1"/>
  <c r="F9" i="1"/>
  <c r="F6" i="1" l="1"/>
  <c r="F17" i="1"/>
  <c r="F15" i="1"/>
  <c r="H20" i="1"/>
  <c r="G6" i="1" l="1"/>
  <c r="H6" i="1"/>
  <c r="F19" i="1"/>
  <c r="F18" i="1" s="1"/>
  <c r="D12" i="2"/>
  <c r="A67" i="2"/>
  <c r="E75" i="2"/>
  <c r="D75" i="2" s="1"/>
  <c r="D79" i="2" l="1"/>
  <c r="F88" i="2"/>
  <c r="F75" i="2"/>
  <c r="F74" i="2" s="1"/>
  <c r="O62" i="2" s="1"/>
  <c r="C77" i="2"/>
  <c r="N65" i="2" s="1"/>
  <c r="G75" i="2"/>
  <c r="O63" i="2" s="1"/>
  <c r="D77" i="2" l="1"/>
  <c r="G77" i="2" s="1"/>
  <c r="O65" i="2" s="1"/>
  <c r="E77" i="2"/>
  <c r="F77" i="2" s="1"/>
  <c r="G76" i="2"/>
  <c r="O64" i="2" s="1"/>
  <c r="C78" i="2"/>
  <c r="N66" i="2" s="1"/>
  <c r="C25" i="2" l="1"/>
  <c r="D78" i="2"/>
  <c r="E78" i="2" s="1"/>
  <c r="A64" i="2" l="1"/>
  <c r="F78" i="2"/>
  <c r="G78" i="2"/>
  <c r="O66" i="2" s="1"/>
  <c r="C79" i="2"/>
  <c r="E79" i="2" s="1"/>
  <c r="F97" i="2" l="1"/>
  <c r="D97" i="2" s="1"/>
  <c r="D19" i="2" s="1"/>
  <c r="G88" i="2"/>
  <c r="D80" i="2"/>
  <c r="C80" i="2"/>
  <c r="E80" i="2" l="1"/>
  <c r="C24" i="2" s="1"/>
  <c r="G32" i="2" l="1"/>
  <c r="C22" i="2" s="1"/>
  <c r="E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Batty</author>
  </authors>
  <commentList>
    <comment ref="A1" authorId="0" shapeId="0" xr:uid="{00000000-0006-0000-0100-000001000000}">
      <text>
        <r>
          <rPr>
            <b/>
            <sz val="9"/>
            <color indexed="81"/>
            <rFont val="Tahoma"/>
            <family val="2"/>
          </rPr>
          <t>Discontinuous</t>
        </r>
        <r>
          <rPr>
            <sz val="9"/>
            <color indexed="81"/>
            <rFont val="Tahoma"/>
            <family val="2"/>
          </rPr>
          <t xml:space="preserve">
not continuous; broken; interrupted; intermittent:
</t>
        </r>
        <r>
          <rPr>
            <b/>
            <sz val="9"/>
            <color indexed="81"/>
            <rFont val="Tahoma"/>
            <family val="2"/>
          </rPr>
          <t xml:space="preserve">
Discrete</t>
        </r>
        <r>
          <rPr>
            <sz val="9"/>
            <color indexed="81"/>
            <rFont val="Tahoma"/>
            <family val="2"/>
          </rPr>
          <t xml:space="preserve">
Apart or detached from others; separate; distinct:
consisting of or characterized by distinct or individual parts; discontinuous.</t>
        </r>
      </text>
    </comment>
    <comment ref="C8" authorId="0" shapeId="0" xr:uid="{00000000-0006-0000-0100-000002000000}">
      <text>
        <r>
          <rPr>
            <b/>
            <sz val="9"/>
            <color indexed="81"/>
            <rFont val="Tahoma"/>
            <family val="2"/>
          </rPr>
          <t xml:space="preserve">Low Friction value
</t>
        </r>
        <r>
          <rPr>
            <sz val="9"/>
            <color indexed="81"/>
            <rFont val="Tahoma"/>
            <family val="2"/>
          </rPr>
          <t>Typically this is taken as 0.35 for cars and 0.26 for trucks.</t>
        </r>
      </text>
    </comment>
    <comment ref="D8" authorId="0" shapeId="0" xr:uid="{00000000-0006-0000-0100-000003000000}">
      <text>
        <r>
          <rPr>
            <b/>
            <sz val="9"/>
            <color indexed="81"/>
            <rFont val="Tahoma"/>
            <family val="2"/>
          </rPr>
          <t xml:space="preserve">High Friction value
</t>
        </r>
        <r>
          <rPr>
            <sz val="9"/>
            <color indexed="81"/>
            <rFont val="Tahoma"/>
            <family val="2"/>
          </rPr>
          <t xml:space="preserve">This is the users choice but a range of acceptable values would be 0.4-0.6
</t>
        </r>
      </text>
    </comment>
    <comment ref="C10" authorId="0" shapeId="0" xr:uid="{00000000-0006-0000-0100-000004000000}">
      <text>
        <r>
          <rPr>
            <b/>
            <sz val="9"/>
            <color indexed="81"/>
            <rFont val="Tahoma"/>
            <family val="2"/>
          </rPr>
          <t xml:space="preserve">Starting Speed 
</t>
        </r>
        <r>
          <rPr>
            <sz val="9"/>
            <color indexed="81"/>
            <rFont val="Tahoma"/>
            <family val="2"/>
          </rPr>
          <t xml:space="preserve">This can be higher than the posted speeds if necessary.
</t>
        </r>
      </text>
    </comment>
    <comment ref="C11" authorId="0" shapeId="0" xr:uid="{00000000-0006-0000-0100-000005000000}">
      <text>
        <r>
          <rPr>
            <b/>
            <sz val="9"/>
            <color indexed="81"/>
            <rFont val="Tahoma"/>
            <family val="2"/>
          </rPr>
          <t xml:space="preserve">End Speed 
</t>
        </r>
        <r>
          <rPr>
            <sz val="9"/>
            <color indexed="81"/>
            <rFont val="Tahoma"/>
            <family val="2"/>
          </rPr>
          <t>This is the final speed desired at the conflict point. 
Normally this is Zero for a vehicle to pedestrain/cyclist conflict
This Setting is provided to allow this tool to be used to calculate stopping distance to a device like a speed table, and not another road user.</t>
        </r>
      </text>
    </comment>
    <comment ref="C12" authorId="0" shapeId="0" xr:uid="{00000000-0006-0000-0100-000006000000}">
      <text>
        <r>
          <rPr>
            <b/>
            <sz val="9"/>
            <color indexed="81"/>
            <rFont val="Tahoma"/>
            <family val="2"/>
          </rPr>
          <t>Override Speed at Tangent</t>
        </r>
        <r>
          <rPr>
            <sz val="9"/>
            <color indexed="81"/>
            <rFont val="Tahoma"/>
            <family val="2"/>
          </rPr>
          <t xml:space="preserve">
This setting allows for the user to override the speed at the tangent point.
The use of this setting would indicate that you have some device after the tangent that is controlling speed rather than using the actual tangent speed possible.
ie.. Speed table after tangent within throat of side road or speed cushion.</t>
        </r>
      </text>
    </comment>
    <comment ref="G13" authorId="0" shapeId="0" xr:uid="{00000000-0006-0000-0100-000007000000}">
      <text>
        <r>
          <rPr>
            <b/>
            <sz val="9"/>
            <color indexed="81"/>
            <rFont val="Tahoma"/>
            <family val="2"/>
          </rPr>
          <t>Override Speed of Hazard</t>
        </r>
        <r>
          <rPr>
            <sz val="9"/>
            <color indexed="81"/>
            <rFont val="Tahoma"/>
            <family val="2"/>
          </rPr>
          <t xml:space="preserve">
This setting allows for the user to override the speed of the Hazard.</t>
        </r>
      </text>
    </comment>
    <comment ref="C15" authorId="0" shapeId="0" xr:uid="{00000000-0006-0000-0100-000008000000}">
      <text>
        <r>
          <rPr>
            <b/>
            <sz val="9"/>
            <color indexed="81"/>
            <rFont val="Tahoma"/>
            <family val="2"/>
          </rPr>
          <t>Vehicle swept radius</t>
        </r>
        <r>
          <rPr>
            <sz val="9"/>
            <color indexed="81"/>
            <rFont val="Tahoma"/>
            <family val="2"/>
          </rPr>
          <t xml:space="preserve"> 
This is the largest radius that a vehicle can travel around a corner meeting the dimension requirements below.
It should be measured 1.5m from lane lines and 1.5m from kerbface.</t>
        </r>
      </text>
    </comment>
    <comment ref="C16" authorId="0" shapeId="0" xr:uid="{00000000-0006-0000-0100-000009000000}">
      <text>
        <r>
          <rPr>
            <b/>
            <sz val="9"/>
            <color indexed="81"/>
            <rFont val="Tahoma"/>
            <family val="2"/>
          </rPr>
          <t xml:space="preserve">Curve extent
</t>
        </r>
        <r>
          <rPr>
            <sz val="9"/>
            <color indexed="81"/>
            <rFont val="Tahoma"/>
            <family val="2"/>
          </rPr>
          <t>This is the angle measured from the Swept path radius tangent point to the point of conflict.</t>
        </r>
      </text>
    </comment>
    <comment ref="C17" authorId="0" shapeId="0" xr:uid="{00000000-0006-0000-0100-00000A000000}">
      <text>
        <r>
          <rPr>
            <b/>
            <sz val="9"/>
            <color indexed="81"/>
            <rFont val="Tahoma"/>
            <family val="2"/>
          </rPr>
          <t xml:space="preserve">Crossfall Grade
</t>
        </r>
        <r>
          <rPr>
            <sz val="9"/>
            <color indexed="81"/>
            <rFont val="Tahoma"/>
            <family val="2"/>
          </rPr>
          <t>This</t>
        </r>
        <r>
          <rPr>
            <b/>
            <sz val="9"/>
            <color indexed="81"/>
            <rFont val="Tahoma"/>
            <family val="2"/>
          </rPr>
          <t xml:space="preserve"> </t>
        </r>
        <r>
          <rPr>
            <sz val="9"/>
            <color indexed="81"/>
            <rFont val="Tahoma"/>
            <family val="2"/>
          </rPr>
          <t>is the gradient around the corner and on the side street.</t>
        </r>
      </text>
    </comment>
    <comment ref="C18" authorId="0" shapeId="0" xr:uid="{00000000-0006-0000-0100-00000B000000}">
      <text>
        <r>
          <rPr>
            <b/>
            <sz val="9"/>
            <color indexed="81"/>
            <rFont val="Tahoma"/>
            <family val="2"/>
          </rPr>
          <t xml:space="preserve">Longitudinal Grade
</t>
        </r>
        <r>
          <rPr>
            <sz val="9"/>
            <color indexed="81"/>
            <rFont val="Tahoma"/>
            <family val="2"/>
          </rPr>
          <t>This</t>
        </r>
        <r>
          <rPr>
            <b/>
            <sz val="9"/>
            <color indexed="81"/>
            <rFont val="Tahoma"/>
            <family val="2"/>
          </rPr>
          <t xml:space="preserve"> </t>
        </r>
        <r>
          <rPr>
            <sz val="9"/>
            <color indexed="81"/>
            <rFont val="Tahoma"/>
            <family val="2"/>
          </rPr>
          <t>is the Gradient the vehicle see's as it approaches the corner. This matches the normal ASD Gradient Setting.</t>
        </r>
      </text>
    </comment>
    <comment ref="C19" authorId="0" shapeId="0" xr:uid="{00000000-0006-0000-0100-00000C000000}">
      <text>
        <r>
          <rPr>
            <b/>
            <sz val="9"/>
            <color indexed="81"/>
            <rFont val="Tahoma"/>
            <family val="2"/>
          </rPr>
          <t xml:space="preserve">Observation Time desired
</t>
        </r>
        <r>
          <rPr>
            <sz val="9"/>
            <color indexed="81"/>
            <rFont val="Tahoma"/>
            <family val="2"/>
          </rPr>
          <t xml:space="preserve">This is the time that </t>
        </r>
        <r>
          <rPr>
            <b/>
            <u/>
            <sz val="9"/>
            <color indexed="81"/>
            <rFont val="Tahoma"/>
            <family val="2"/>
          </rPr>
          <t>you</t>
        </r>
        <r>
          <rPr>
            <sz val="9"/>
            <color indexed="81"/>
            <rFont val="Tahoma"/>
            <family val="2"/>
          </rPr>
          <t xml:space="preserve"> determine is necessary for a driver to be able to recognise a hazard. 
ASD allows this to be a minimum of 1.5 secs but as we may already be braking and the observation time after the tangent may be minimal it is desirable to extend this time according to the guidance in TDM/Roads and Streets.
The environment will play a part in your decision around this figure, a busy environment like a town centre may mean there are competing demands placed on a drivers awareness and therefore a longer Observation time is desirable.
Suggested settings: (minimum recommended)
Town centre (TC)    = 3.0 seconds
Town centre Fringe  = 2.0 seconds
Local roads              = 1.5 seconds
Add 0.5 Seconds per eye or Head movement to observe other hazards in area
1 Distraction would mean 1 second comprising two movements
2 Distractions = 1.5 secs extra or 0.5 (Hazard) 0.5 (next Hazard) 0.5 (Back to Start)
3 Distractions = 2.0 secs extra or 0.5 (Hazard) 0.5 (next Hazard) 0.5 (next Hazard) 0.5 (Back to Start)
At </t>
        </r>
        <r>
          <rPr>
            <b/>
            <u/>
            <sz val="9"/>
            <color indexed="81"/>
            <rFont val="Tahoma"/>
            <family val="2"/>
          </rPr>
          <t>no</t>
        </r>
        <r>
          <rPr>
            <sz val="9"/>
            <color indexed="81"/>
            <rFont val="Tahoma"/>
            <family val="2"/>
          </rPr>
          <t xml:space="preserve"> time should the High friction observation time fall below 1.5 seconds.</t>
        </r>
      </text>
    </comment>
  </commentList>
</comments>
</file>

<file path=xl/sharedStrings.xml><?xml version="1.0" encoding="utf-8"?>
<sst xmlns="http://schemas.openxmlformats.org/spreadsheetml/2006/main" count="222" uniqueCount="155">
  <si>
    <t>Enter Data at this Colour</t>
  </si>
  <si>
    <t>Ped Distance</t>
  </si>
  <si>
    <t>Cycle Distance</t>
  </si>
  <si>
    <t>Cars</t>
  </si>
  <si>
    <t>Trucks</t>
  </si>
  <si>
    <t>Ouput (Do not Alter)</t>
  </si>
  <si>
    <t>kmh</t>
  </si>
  <si>
    <t>Bitumin</t>
  </si>
  <si>
    <t>Unsealed</t>
  </si>
  <si>
    <t>Information Gathered from</t>
  </si>
  <si>
    <t>SSD</t>
  </si>
  <si>
    <t>0.278*Vo*t+(Vo2/254*(f+-G))</t>
  </si>
  <si>
    <t>m/s</t>
  </si>
  <si>
    <t>Speed</t>
  </si>
  <si>
    <t>Friction</t>
  </si>
  <si>
    <t>Calculated Friction</t>
  </si>
  <si>
    <t>Sealed Roads Friction and ASD/SiSD</t>
  </si>
  <si>
    <t>http://www.tmr.qld.gov.au/~/media/974d7e97-938f-4fc1-9610-38b8ed8a3b43/rpdm_chapter9.pdf</t>
  </si>
  <si>
    <t>http://www.tmr.qld.gov.au/~/media/48607ebd-a43d-4d08-b8c3-e82ca5eff039/rpdm_chapter13.pdf</t>
  </si>
  <si>
    <t>Observation Time</t>
  </si>
  <si>
    <t>Total time</t>
  </si>
  <si>
    <t>UnSealed Roads Friction and ASD/SiSD</t>
  </si>
  <si>
    <t>http://www.bookshop.vicroads.vic.gov.au/redirectpdf/pdfs/SupplementAGRD3.pdf</t>
  </si>
  <si>
    <t>Design Speed (Vo)</t>
  </si>
  <si>
    <t>Vo (85th Percentile speed)</t>
  </si>
  <si>
    <t>Scrim Testing against Austroads</t>
  </si>
  <si>
    <t>http://www.saferroads.org.uk/presentations/keynotespeakers/PeterCenek.pdf</t>
  </si>
  <si>
    <t>Reaction Time (t)</t>
  </si>
  <si>
    <t>1.5 if aware or 2 min for truck</t>
  </si>
  <si>
    <t>Grade over SiSD Distance</t>
  </si>
  <si>
    <t>Enter Height change over SiSD Distance</t>
  </si>
  <si>
    <t>Friction (f)</t>
  </si>
  <si>
    <t>Grade over ASD Distance</t>
  </si>
  <si>
    <t>Enter Height change over ASD Distance</t>
  </si>
  <si>
    <t>Grade</t>
  </si>
  <si>
    <t>Observation Distance Travelled</t>
  </si>
  <si>
    <t>End Speed (Target speed)</t>
  </si>
  <si>
    <t>Reaction Distance Travelled</t>
  </si>
  <si>
    <t>Stopping Distance Travelled</t>
  </si>
  <si>
    <t>Stopping Distance Travelled to Target</t>
  </si>
  <si>
    <t>Speed at Vo</t>
  </si>
  <si>
    <t>Velocity difference to Target speed</t>
  </si>
  <si>
    <t>Speed at Target</t>
  </si>
  <si>
    <t>Time to stop</t>
  </si>
  <si>
    <t>Deceleration Rate</t>
  </si>
  <si>
    <t>Stopping G</t>
  </si>
  <si>
    <t>time at 1 g</t>
  </si>
  <si>
    <t>SiSD</t>
  </si>
  <si>
    <t>ASD</t>
  </si>
  <si>
    <r>
      <t xml:space="preserve">ASD </t>
    </r>
    <r>
      <rPr>
        <sz val="18"/>
        <color rgb="FFFF0000"/>
        <rFont val="Calibri"/>
        <family val="2"/>
        <scheme val="minor"/>
      </rPr>
      <t>(Target)</t>
    </r>
  </si>
  <si>
    <t>"-0.0063*(speed/10)+0.2984"</t>
  </si>
  <si>
    <t>"-0.023*(speed/10)+0.612"</t>
  </si>
  <si>
    <t>James Hughes - National Design Engineer</t>
  </si>
  <si>
    <r>
      <t xml:space="preserve">Design speed (km/h) </t>
    </r>
    <r>
      <rPr>
        <sz val="18"/>
        <color rgb="FF000000"/>
        <rFont val="Arial"/>
        <family val="2"/>
      </rPr>
      <t xml:space="preserve"> </t>
    </r>
  </si>
  <si>
    <t>Absolute minimum values Only for specific road types and situations</t>
  </si>
  <si>
    <t>Desirable minimum values for most urban and rural road types</t>
  </si>
  <si>
    <t>Desirable values for major highways and freeways</t>
  </si>
  <si>
    <t>Desirable values for Trucks</t>
  </si>
  <si>
    <r>
      <t xml:space="preserve">d = 0.46  </t>
    </r>
    <r>
      <rPr>
        <sz val="18"/>
        <color rgb="FF000000"/>
        <rFont val="Arial"/>
        <family val="2"/>
      </rPr>
      <t xml:space="preserve"> </t>
    </r>
  </si>
  <si>
    <r>
      <t xml:space="preserve">d = 0.36 </t>
    </r>
    <r>
      <rPr>
        <sz val="18"/>
        <color rgb="FF000000"/>
        <rFont val="Arial"/>
        <family val="2"/>
      </rPr>
      <t xml:space="preserve"> </t>
    </r>
  </si>
  <si>
    <r>
      <t xml:space="preserve">d = 0.26 </t>
    </r>
    <r>
      <rPr>
        <sz val="18"/>
        <color rgb="FF000000"/>
        <rFont val="Arial"/>
        <family val="2"/>
      </rPr>
      <t xml:space="preserve"> </t>
    </r>
  </si>
  <si>
    <t>d = 0.29</t>
  </si>
  <si>
    <r>
      <t> </t>
    </r>
    <r>
      <rPr>
        <sz val="18"/>
        <color rgb="FF000000"/>
        <rFont val="Arial"/>
        <family val="2"/>
      </rPr>
      <t xml:space="preserve"> </t>
    </r>
  </si>
  <si>
    <r>
      <t xml:space="preserve">RT = 1.5s </t>
    </r>
    <r>
      <rPr>
        <sz val="18"/>
        <color rgb="FF000000"/>
        <rFont val="Arial"/>
        <family val="2"/>
      </rPr>
      <t xml:space="preserve"> </t>
    </r>
  </si>
  <si>
    <r>
      <t>RT = 2.0s</t>
    </r>
    <r>
      <rPr>
        <sz val="18"/>
        <color rgb="FF000000"/>
        <rFont val="Arial"/>
        <family val="2"/>
      </rPr>
      <t xml:space="preserve"> </t>
    </r>
  </si>
  <si>
    <r>
      <t xml:space="preserve">RT = 2.5s </t>
    </r>
    <r>
      <rPr>
        <sz val="18"/>
        <color rgb="FF000000"/>
        <rFont val="Arial"/>
        <family val="2"/>
      </rPr>
      <t xml:space="preserve"> </t>
    </r>
  </si>
  <si>
    <r>
      <t xml:space="preserve">RT = 1.5s  </t>
    </r>
    <r>
      <rPr>
        <sz val="18"/>
        <color rgb="FF000000"/>
        <rFont val="Arial"/>
        <family val="2"/>
      </rPr>
      <t xml:space="preserve"> </t>
    </r>
  </si>
  <si>
    <r>
      <t xml:space="preserve">RT = 2.0s </t>
    </r>
    <r>
      <rPr>
        <sz val="18"/>
        <color rgb="FF000000"/>
        <rFont val="Arial"/>
        <family val="2"/>
      </rPr>
      <t xml:space="preserve"> </t>
    </r>
  </si>
  <si>
    <r>
      <t>SHGDM</t>
    </r>
    <r>
      <rPr>
        <sz val="18"/>
        <color rgb="FF000000"/>
        <rFont val="Arial"/>
        <family val="2"/>
      </rPr>
      <t xml:space="preserve"> </t>
    </r>
  </si>
  <si>
    <r>
      <t>-</t>
    </r>
    <r>
      <rPr>
        <sz val="18"/>
        <color rgb="FF000000"/>
        <rFont val="Arial"/>
        <family val="2"/>
      </rPr>
      <t xml:space="preserve"> </t>
    </r>
  </si>
  <si>
    <t>225 (110)</t>
  </si>
  <si>
    <t>241 (110)</t>
  </si>
  <si>
    <t>Highways Network Operations</t>
  </si>
  <si>
    <t xml:space="preserve">•james.hughes@nzta.govt.nz </t>
  </si>
  <si>
    <t>Discontinuous Dynamic or Discrete Sight Distance</t>
  </si>
  <si>
    <t>Legend</t>
  </si>
  <si>
    <t>Input</t>
  </si>
  <si>
    <t>Optional Input</t>
  </si>
  <si>
    <t>Answer</t>
  </si>
  <si>
    <t>Low friction value</t>
  </si>
  <si>
    <t>?</t>
  </si>
  <si>
    <t>&gt;</t>
  </si>
  <si>
    <t>High friction value</t>
  </si>
  <si>
    <t>f</t>
  </si>
  <si>
    <t>Start Speed</t>
  </si>
  <si>
    <r>
      <t>V</t>
    </r>
    <r>
      <rPr>
        <sz val="12"/>
        <color rgb="FF0066FF"/>
        <rFont val="Calibri"/>
        <family val="2"/>
        <scheme val="minor"/>
      </rPr>
      <t>1</t>
    </r>
  </si>
  <si>
    <t>End Speed</t>
  </si>
  <si>
    <r>
      <t>V</t>
    </r>
    <r>
      <rPr>
        <sz val="12"/>
        <color rgb="FF0066FF"/>
        <rFont val="Calibri"/>
        <family val="2"/>
        <scheme val="minor"/>
      </rPr>
      <t>2</t>
    </r>
  </si>
  <si>
    <t>Override Speed at Tangent</t>
  </si>
  <si>
    <r>
      <t>V</t>
    </r>
    <r>
      <rPr>
        <sz val="12"/>
        <color rgb="FF0066FF"/>
        <rFont val="Calibri"/>
        <family val="2"/>
        <scheme val="minor"/>
      </rPr>
      <t>3</t>
    </r>
  </si>
  <si>
    <t>Hazard Speed</t>
  </si>
  <si>
    <r>
      <t>H</t>
    </r>
    <r>
      <rPr>
        <sz val="16"/>
        <color rgb="FF0066FF"/>
        <rFont val="Calibri"/>
        <family val="2"/>
        <scheme val="minor"/>
      </rPr>
      <t>v</t>
    </r>
  </si>
  <si>
    <t>Pedestrian 16-18+ year</t>
  </si>
  <si>
    <t>Vehicle Swept path radius</t>
  </si>
  <si>
    <r>
      <t>R</t>
    </r>
    <r>
      <rPr>
        <sz val="12"/>
        <color rgb="FF0066FF"/>
        <rFont val="Calibri"/>
        <family val="2"/>
        <scheme val="minor"/>
      </rPr>
      <t>v</t>
    </r>
  </si>
  <si>
    <t>Curve extent in degrees</t>
  </si>
  <si>
    <t>d</t>
  </si>
  <si>
    <t>Crossfall Grade</t>
  </si>
  <si>
    <t>a</t>
  </si>
  <si>
    <t>Longitudinal Grade</t>
  </si>
  <si>
    <t>b</t>
  </si>
  <si>
    <t>High friction rate observation time @ low Friction distance</t>
  </si>
  <si>
    <t>Observation Time desired</t>
  </si>
  <si>
    <t>t</t>
  </si>
  <si>
    <t>← WARNING !!! (less than 1.5 Seconds)</t>
  </si>
  <si>
    <t>Distance from swept path Tangent</t>
  </si>
  <si>
    <t>Total travelled distance</t>
  </si>
  <si>
    <t>Hazard Splay Distance from conflict</t>
  </si>
  <si>
    <t>For Detailed Breakdown of Vehicle movements See below</t>
  </si>
  <si>
    <t>Safety Factor</t>
  </si>
  <si>
    <t>After Tangent</t>
  </si>
  <si>
    <t>Braking</t>
  </si>
  <si>
    <t>Prior to Decel</t>
  </si>
  <si>
    <t>Low Friction Rate Details</t>
  </si>
  <si>
    <t>Moving Hazard Datatable</t>
  </si>
  <si>
    <t>Speed (kph)</t>
  </si>
  <si>
    <t>Time</t>
  </si>
  <si>
    <t>Distance (m)</t>
  </si>
  <si>
    <t>Running distance</t>
  </si>
  <si>
    <t>Running Time</t>
  </si>
  <si>
    <t>Type</t>
  </si>
  <si>
    <t>Ability</t>
  </si>
  <si>
    <t>Conflict Speed</t>
  </si>
  <si>
    <t>Pedestrian</t>
  </si>
  <si>
    <t>3-5 Year</t>
  </si>
  <si>
    <t>To Stop</t>
  </si>
  <si>
    <t>↑</t>
  </si>
  <si>
    <t>6-8 Year</t>
  </si>
  <si>
    <t>Observe after Tangent</t>
  </si>
  <si>
    <t>← Stopping Distance &gt; than arc length</t>
  </si>
  <si>
    <t>9-11 Year</t>
  </si>
  <si>
    <t>Tangent</t>
  </si>
  <si>
    <t>12-15 Year</t>
  </si>
  <si>
    <t>Prior to Tangent (decel section)</t>
  </si>
  <si>
    <t>← Observation time after 
      tangent exceeds 
      requested value</t>
  </si>
  <si>
    <t>16-18+ year</t>
  </si>
  <si>
    <t>Observe Prior to Decel</t>
  </si>
  <si>
    <t>60-70 year</t>
  </si>
  <si>
    <t>70-80 year</t>
  </si>
  <si>
    <t>80-90 year</t>
  </si>
  <si>
    <t>Cyclist</t>
  </si>
  <si>
    <t>Basic</t>
  </si>
  <si>
    <t>Competent</t>
  </si>
  <si>
    <t>Expert</t>
  </si>
  <si>
    <t>Rollersking</t>
  </si>
  <si>
    <t>Rollerblades</t>
  </si>
  <si>
    <t>High Friction Rate Details</t>
  </si>
  <si>
    <t>Running Distance</t>
  </si>
  <si>
    <t>Jogger</t>
  </si>
  <si>
    <t>Correction for Higher Friction Rate</t>
  </si>
  <si>
    <t>G</t>
  </si>
  <si>
    <t>Start Speed m/s</t>
  </si>
  <si>
    <t>end speed m/s</t>
  </si>
  <si>
    <t>Curve Distance</t>
  </si>
  <si>
    <t>Speed at Tangent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</si>
</sst>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numFmt numFmtId="166" formatCode="0.0\ &quot;m/s&quot;"/>
    <numFmt numFmtId="167" formatCode="0.00\ &quot;sec&quot;"/>
    <numFmt numFmtId="168" formatCode="0.00\ &quot;m&quot;"/>
    <numFmt numFmtId="169" formatCode="0.00000000000000"/>
    <numFmt numFmtId="170" formatCode="0.000\ &quot;m/s per sec&quot;"/>
    <numFmt numFmtId="171" formatCode="0.0\ &quot;kmh&quot;"/>
    <numFmt numFmtId="172" formatCode="0.00\ &quot;m/s&quot;"/>
    <numFmt numFmtId="173" formatCode="0.00\ &quot;m/s²&quot;"/>
    <numFmt numFmtId="174" formatCode="0.0\ &quot;°&quot;"/>
    <numFmt numFmtId="175" formatCode="0.0\ %"/>
    <numFmt numFmtId="176" formatCode="0.00000"/>
    <numFmt numFmtId="177" formatCode="0.0\ &quot;m&quot;"/>
  </numFmts>
  <fonts count="47" x14ac:knownFonts="1">
    <font>
      <sz val="11"/>
      <color theme="1"/>
      <name val="Calibri"/>
      <family val="2"/>
      <scheme val="minor"/>
    </font>
    <font>
      <sz val="11"/>
      <color theme="1"/>
      <name val="Calibri"/>
      <family val="2"/>
      <scheme val="minor"/>
    </font>
    <font>
      <sz val="24"/>
      <color theme="1"/>
      <name val="Calibri"/>
      <family val="2"/>
      <scheme val="minor"/>
    </font>
    <font>
      <sz val="11"/>
      <color theme="0"/>
      <name val="Calibri"/>
      <family val="2"/>
      <scheme val="minor"/>
    </font>
    <font>
      <sz val="11"/>
      <color rgb="FFFF0000"/>
      <name val="Calibri"/>
      <family val="2"/>
      <scheme val="minor"/>
    </font>
    <font>
      <sz val="14"/>
      <color theme="1"/>
      <name val="Calibri"/>
      <family val="2"/>
      <scheme val="minor"/>
    </font>
    <font>
      <b/>
      <sz val="10"/>
      <color rgb="FF000000"/>
      <name val="Arial"/>
      <family val="2"/>
    </font>
    <font>
      <sz val="18"/>
      <color rgb="FF000000"/>
      <name val="Arial"/>
      <family val="2"/>
    </font>
    <font>
      <sz val="10"/>
      <color rgb="FF000000"/>
      <name val="Arial"/>
      <family val="2"/>
    </font>
    <font>
      <b/>
      <sz val="10"/>
      <color rgb="FFFF0000"/>
      <name val="Arial"/>
      <family val="2"/>
    </font>
    <font>
      <sz val="10"/>
      <color rgb="FFFF0000"/>
      <name val="Arial"/>
      <family val="2"/>
    </font>
    <font>
      <b/>
      <sz val="10"/>
      <color rgb="FF339966"/>
      <name val="Arial"/>
      <family val="2"/>
    </font>
    <font>
      <sz val="14"/>
      <color rgb="FF00456A"/>
      <name val="Verdana"/>
      <family val="2"/>
    </font>
    <font>
      <u/>
      <sz val="11"/>
      <color theme="10"/>
      <name val="Calibri"/>
      <family val="2"/>
    </font>
    <font>
      <sz val="18"/>
      <color theme="1"/>
      <name val="Calibri"/>
      <family val="2"/>
      <scheme val="minor"/>
    </font>
    <font>
      <sz val="10"/>
      <color rgb="FFFF0000"/>
      <name val="Calibri"/>
      <family val="2"/>
      <scheme val="minor"/>
    </font>
    <font>
      <sz val="18"/>
      <color rgb="FFFF0000"/>
      <name val="Calibri"/>
      <family val="2"/>
      <scheme val="minor"/>
    </font>
    <font>
      <sz val="11"/>
      <color rgb="FF9C0006"/>
      <name val="Calibri"/>
      <family val="2"/>
      <scheme val="minor"/>
    </font>
    <font>
      <b/>
      <sz val="11"/>
      <color theme="1"/>
      <name val="Calibri"/>
      <family val="2"/>
      <scheme val="minor"/>
    </font>
    <font>
      <sz val="11"/>
      <color rgb="FF3F3F76"/>
      <name val="Calibri"/>
      <family val="2"/>
      <scheme val="minor"/>
    </font>
    <font>
      <sz val="11"/>
      <name val="Calibri"/>
      <family val="2"/>
      <scheme val="minor"/>
    </font>
    <font>
      <sz val="12"/>
      <color rgb="FF000000"/>
      <name val="Arial"/>
      <family val="2"/>
    </font>
    <font>
      <b/>
      <sz val="11"/>
      <color theme="0"/>
      <name val="Calibri"/>
      <family val="2"/>
      <scheme val="minor"/>
    </font>
    <font>
      <i/>
      <sz val="20"/>
      <color theme="1"/>
      <name val="Calibri"/>
      <family val="2"/>
      <scheme val="minor"/>
    </font>
    <font>
      <b/>
      <sz val="11"/>
      <color rgb="FFFF0000"/>
      <name val="Calibri"/>
      <family val="2"/>
      <scheme val="minor"/>
    </font>
    <font>
      <b/>
      <sz val="18"/>
      <color theme="1"/>
      <name val="Calibri"/>
      <family val="2"/>
      <scheme val="minor"/>
    </font>
    <font>
      <b/>
      <sz val="20"/>
      <color theme="1"/>
      <name val="Calibri"/>
      <family val="2"/>
      <scheme val="minor"/>
    </font>
    <font>
      <b/>
      <sz val="18"/>
      <color rgb="FFFF0000"/>
      <name val="Calibri"/>
      <family val="2"/>
      <scheme val="minor"/>
    </font>
    <font>
      <b/>
      <sz val="24"/>
      <color theme="1"/>
      <name val="Calibri"/>
      <family val="2"/>
      <scheme val="minor"/>
    </font>
    <font>
      <b/>
      <sz val="16"/>
      <color rgb="FF0066FF"/>
      <name val="Calibri"/>
      <family val="2"/>
      <scheme val="minor"/>
    </font>
    <font>
      <sz val="16"/>
      <color rgb="FF0066FF"/>
      <name val="Calibri"/>
      <family val="2"/>
      <scheme val="minor"/>
    </font>
    <font>
      <sz val="12"/>
      <color rgb="FF0066FF"/>
      <name val="Calibri"/>
      <family val="2"/>
      <scheme val="minor"/>
    </font>
    <font>
      <b/>
      <u/>
      <sz val="16"/>
      <color theme="10"/>
      <name val="Calibri"/>
      <family val="2"/>
    </font>
    <font>
      <sz val="9"/>
      <color indexed="81"/>
      <name val="Tahoma"/>
      <family val="2"/>
    </font>
    <font>
      <b/>
      <sz val="9"/>
      <color indexed="81"/>
      <name val="Tahoma"/>
      <family val="2"/>
    </font>
    <font>
      <b/>
      <u/>
      <sz val="9"/>
      <color indexed="81"/>
      <name val="Tahoma"/>
      <family val="2"/>
    </font>
    <font>
      <b/>
      <sz val="18"/>
      <color theme="0" tint="-4.9989318521683403E-2"/>
      <name val="Calibri"/>
      <family val="2"/>
      <scheme val="minor"/>
    </font>
    <font>
      <sz val="16"/>
      <color theme="0"/>
      <name val="Calibri"/>
      <family val="2"/>
      <scheme val="minor"/>
    </font>
    <font>
      <b/>
      <sz val="22"/>
      <color theme="1"/>
      <name val="Calibri"/>
      <family val="2"/>
      <scheme val="minor"/>
    </font>
    <font>
      <b/>
      <sz val="14"/>
      <color rgb="FF0070C0"/>
      <name val="Wingdings 3"/>
      <family val="1"/>
      <charset val="2"/>
    </font>
    <font>
      <b/>
      <sz val="11"/>
      <color rgb="FF0070C0"/>
      <name val="Calibri"/>
      <family val="2"/>
      <scheme val="minor"/>
    </font>
    <font>
      <b/>
      <sz val="14"/>
      <color theme="0"/>
      <name val="Calibri"/>
      <family val="2"/>
      <scheme val="minor"/>
    </font>
    <font>
      <b/>
      <sz val="14"/>
      <color theme="1"/>
      <name val="Calibri"/>
      <family val="2"/>
      <scheme val="minor"/>
    </font>
    <font>
      <b/>
      <sz val="14"/>
      <color rgb="FF00B050"/>
      <name val="Calibri"/>
      <family val="2"/>
      <scheme val="minor"/>
    </font>
    <font>
      <b/>
      <sz val="14"/>
      <color rgb="FF7030A0"/>
      <name val="Wingdings 3"/>
      <family val="1"/>
      <charset val="2"/>
    </font>
    <font>
      <sz val="12"/>
      <color rgb="FF7030A0"/>
      <name val="Calibri"/>
      <family val="2"/>
      <scheme val="minor"/>
    </font>
    <font>
      <b/>
      <sz val="14"/>
      <color rgb="FF0066FF"/>
      <name val="Calibri"/>
      <family val="2"/>
      <scheme val="minor"/>
    </font>
  </fonts>
  <fills count="17">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AFBD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7CE"/>
      </patternFill>
    </fill>
    <fill>
      <patternFill patternType="solid">
        <fgColor theme="4" tint="0.59999389629810485"/>
        <bgColor indexed="64"/>
      </patternFill>
    </fill>
    <fill>
      <patternFill patternType="solid">
        <fgColor rgb="FFFFCC99"/>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FFC000"/>
        <bgColor indexed="64"/>
      </patternFill>
    </fill>
    <fill>
      <patternFill patternType="solid">
        <fgColor rgb="FF00B050"/>
        <bgColor indexed="64"/>
      </patternFill>
    </fill>
    <fill>
      <patternFill patternType="solid">
        <fgColor theme="3"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alignment vertical="top"/>
      <protection locked="0"/>
    </xf>
    <xf numFmtId="0" fontId="17" fillId="8" borderId="0" applyNumberFormat="0" applyBorder="0" applyAlignment="0" applyProtection="0"/>
    <xf numFmtId="0" fontId="19" fillId="10" borderId="31" applyNumberFormat="0" applyAlignment="0" applyProtection="0"/>
  </cellStyleXfs>
  <cellXfs count="202">
    <xf numFmtId="0" fontId="0" fillId="0" borderId="0" xfId="0"/>
    <xf numFmtId="0" fontId="0" fillId="0" borderId="0" xfId="0" applyAlignment="1">
      <alignment horizontal="right"/>
    </xf>
    <xf numFmtId="0" fontId="0" fillId="0" borderId="0" xfId="0" applyAlignment="1">
      <alignment horizontal="center"/>
    </xf>
    <xf numFmtId="0" fontId="2" fillId="0" borderId="0" xfId="0" applyFont="1"/>
    <xf numFmtId="2" fontId="0" fillId="0" borderId="0" xfId="0" applyNumberFormat="1"/>
    <xf numFmtId="9" fontId="0" fillId="0" borderId="0" xfId="1" applyFont="1" applyFill="1"/>
    <xf numFmtId="0" fontId="3" fillId="0" borderId="0" xfId="0" applyFont="1" applyAlignment="1">
      <alignment horizontal="center"/>
    </xf>
    <xf numFmtId="2" fontId="3" fillId="0" borderId="0" xfId="0" applyNumberFormat="1" applyFont="1" applyAlignment="1">
      <alignment horizontal="center"/>
    </xf>
    <xf numFmtId="166" fontId="0" fillId="3" borderId="1" xfId="0" applyNumberFormat="1" applyFill="1" applyBorder="1" applyAlignment="1">
      <alignment horizontal="center"/>
    </xf>
    <xf numFmtId="167" fontId="0" fillId="3" borderId="1" xfId="0" applyNumberFormat="1" applyFill="1" applyBorder="1" applyAlignment="1">
      <alignment horizontal="center"/>
    </xf>
    <xf numFmtId="2" fontId="0" fillId="3" borderId="1" xfId="0" applyNumberFormat="1" applyFill="1" applyBorder="1" applyAlignment="1">
      <alignment horizontal="center"/>
    </xf>
    <xf numFmtId="0" fontId="0" fillId="0" borderId="0" xfId="0" applyAlignment="1">
      <alignment horizontal="left"/>
    </xf>
    <xf numFmtId="0" fontId="0" fillId="3" borderId="1" xfId="0" applyFill="1" applyBorder="1" applyAlignment="1">
      <alignment horizontal="center"/>
    </xf>
    <xf numFmtId="165" fontId="0" fillId="3" borderId="1" xfId="1" applyNumberFormat="1" applyFont="1" applyFill="1" applyBorder="1" applyAlignment="1">
      <alignment horizontal="center"/>
    </xf>
    <xf numFmtId="168" fontId="0" fillId="3" borderId="1" xfId="0" applyNumberFormat="1" applyFill="1" applyBorder="1" applyAlignment="1">
      <alignment horizontal="center"/>
    </xf>
    <xf numFmtId="164" fontId="2" fillId="3" borderId="1" xfId="0" applyNumberFormat="1" applyFont="1" applyFill="1" applyBorder="1"/>
    <xf numFmtId="0" fontId="0" fillId="2" borderId="1" xfId="0" applyFill="1" applyBorder="1"/>
    <xf numFmtId="0" fontId="0" fillId="3" borderId="1" xfId="0" applyFill="1" applyBorder="1"/>
    <xf numFmtId="0" fontId="5" fillId="0" borderId="0" xfId="0" applyFont="1"/>
    <xf numFmtId="0" fontId="0" fillId="0" borderId="5" xfId="0" applyBorder="1" applyAlignment="1">
      <alignment horizontal="center"/>
    </xf>
    <xf numFmtId="0" fontId="4" fillId="0" borderId="6" xfId="0" applyFont="1" applyBorder="1" applyAlignment="1">
      <alignment horizontal="center"/>
    </xf>
    <xf numFmtId="0" fontId="0" fillId="0" borderId="7" xfId="0" applyBorder="1" applyAlignment="1">
      <alignment horizontal="center"/>
    </xf>
    <xf numFmtId="0" fontId="4" fillId="0" borderId="8" xfId="0" applyFont="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8"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4" fillId="0" borderId="2" xfId="0" applyFont="1" applyBorder="1" applyAlignment="1">
      <alignment horizontal="center"/>
    </xf>
    <xf numFmtId="0" fontId="4" fillId="0" borderId="18" xfId="0" applyFont="1" applyBorder="1" applyAlignment="1">
      <alignment horizontal="center"/>
    </xf>
    <xf numFmtId="0" fontId="0" fillId="0" borderId="3" xfId="0" applyBorder="1"/>
    <xf numFmtId="0" fontId="0" fillId="0" borderId="4" xfId="0" applyBorder="1"/>
    <xf numFmtId="0" fontId="0" fillId="0" borderId="5" xfId="0" applyBorder="1"/>
    <xf numFmtId="0" fontId="0" fillId="0" borderId="7" xfId="0" applyBorder="1"/>
    <xf numFmtId="0" fontId="4" fillId="0" borderId="6" xfId="0" applyFont="1" applyBorder="1"/>
    <xf numFmtId="0" fontId="4" fillId="0" borderId="8" xfId="0" applyFont="1" applyBorder="1"/>
    <xf numFmtId="0" fontId="8" fillId="0" borderId="22" xfId="0" applyFont="1" applyBorder="1" applyAlignment="1">
      <alignment horizontal="left" vertical="center" wrapText="1" readingOrder="1"/>
    </xf>
    <xf numFmtId="0" fontId="9" fillId="0" borderId="22" xfId="0" applyFont="1" applyBorder="1" applyAlignment="1">
      <alignment horizontal="center" vertical="center" wrapText="1" readingOrder="1"/>
    </xf>
    <xf numFmtId="0" fontId="6" fillId="0" borderId="22" xfId="0" applyFont="1" applyBorder="1" applyAlignment="1">
      <alignment horizontal="center" vertical="center" wrapText="1" readingOrder="1"/>
    </xf>
    <xf numFmtId="0" fontId="8" fillId="0" borderId="22" xfId="0" applyFont="1" applyBorder="1" applyAlignment="1">
      <alignment horizontal="center" vertical="center" wrapText="1" readingOrder="1"/>
    </xf>
    <xf numFmtId="0" fontId="10" fillId="0" borderId="22" xfId="0" applyFont="1" applyBorder="1" applyAlignment="1">
      <alignment horizontal="center" vertical="center" wrapText="1" readingOrder="1"/>
    </xf>
    <xf numFmtId="0" fontId="11" fillId="0" borderId="22" xfId="0" applyFont="1" applyBorder="1" applyAlignment="1">
      <alignment horizontal="center" vertical="center" wrapText="1" readingOrder="1"/>
    </xf>
    <xf numFmtId="0" fontId="7" fillId="0" borderId="22" xfId="0" applyFont="1" applyBorder="1" applyAlignment="1">
      <alignment horizontal="center" vertical="center" wrapText="1"/>
    </xf>
    <xf numFmtId="0" fontId="6" fillId="5" borderId="22" xfId="0" applyFont="1" applyFill="1" applyBorder="1" applyAlignment="1">
      <alignment horizontal="center" vertical="center" wrapText="1" readingOrder="1"/>
    </xf>
    <xf numFmtId="0" fontId="9" fillId="5" borderId="22" xfId="0" applyFont="1" applyFill="1" applyBorder="1" applyAlignment="1">
      <alignment horizontal="center" vertical="center" wrapText="1" readingOrder="1"/>
    </xf>
    <xf numFmtId="0" fontId="11" fillId="5" borderId="22" xfId="0" applyFont="1" applyFill="1" applyBorder="1" applyAlignment="1">
      <alignment horizontal="center" vertical="center" wrapText="1" readingOrder="1"/>
    </xf>
    <xf numFmtId="0" fontId="12" fillId="0" borderId="0" xfId="0" applyFont="1"/>
    <xf numFmtId="0" fontId="13" fillId="0" borderId="0" xfId="2" applyAlignment="1" applyProtection="1">
      <alignment horizontal="left" indent="4" readingOrder="1"/>
    </xf>
    <xf numFmtId="0" fontId="14" fillId="0" borderId="0" xfId="0" applyFont="1"/>
    <xf numFmtId="0" fontId="0" fillId="6" borderId="0" xfId="0" applyFill="1"/>
    <xf numFmtId="164" fontId="2" fillId="7" borderId="1" xfId="0" applyNumberFormat="1" applyFont="1" applyFill="1" applyBorder="1"/>
    <xf numFmtId="0" fontId="15" fillId="0" borderId="0" xfId="0" applyFont="1"/>
    <xf numFmtId="169" fontId="0" fillId="0" borderId="0" xfId="0" applyNumberFormat="1"/>
    <xf numFmtId="166" fontId="0" fillId="0" borderId="0" xfId="0" applyNumberFormat="1" applyAlignment="1">
      <alignment horizontal="center"/>
    </xf>
    <xf numFmtId="166" fontId="0" fillId="7" borderId="1" xfId="0" applyNumberFormat="1" applyFill="1" applyBorder="1" applyAlignment="1">
      <alignment horizontal="center"/>
    </xf>
    <xf numFmtId="170" fontId="0" fillId="9" borderId="1" xfId="0" applyNumberFormat="1" applyFill="1" applyBorder="1" applyAlignment="1">
      <alignment horizontal="center"/>
    </xf>
    <xf numFmtId="168" fontId="17" fillId="7" borderId="1" xfId="3" applyNumberFormat="1" applyFill="1" applyBorder="1" applyAlignment="1">
      <alignment horizontal="center"/>
    </xf>
    <xf numFmtId="166" fontId="0" fillId="7" borderId="0" xfId="0" applyNumberFormat="1" applyFill="1" applyAlignment="1">
      <alignment horizontal="center"/>
    </xf>
    <xf numFmtId="167" fontId="0" fillId="3" borderId="2" xfId="0" applyNumberFormat="1" applyFill="1" applyBorder="1" applyAlignment="1">
      <alignment horizontal="center"/>
    </xf>
    <xf numFmtId="171" fontId="0" fillId="3" borderId="1" xfId="0" applyNumberFormat="1" applyFill="1" applyBorder="1"/>
    <xf numFmtId="166" fontId="0" fillId="3" borderId="1" xfId="0" applyNumberFormat="1" applyFill="1" applyBorder="1"/>
    <xf numFmtId="0" fontId="18" fillId="0" borderId="1" xfId="0" applyFont="1" applyBorder="1"/>
    <xf numFmtId="168" fontId="20" fillId="10" borderId="31" xfId="4" applyNumberFormat="1" applyFont="1"/>
    <xf numFmtId="164" fontId="2" fillId="0" borderId="1" xfId="0" applyNumberFormat="1" applyFont="1" applyBorder="1"/>
    <xf numFmtId="164" fontId="0" fillId="0" borderId="0" xfId="1" applyNumberFormat="1" applyFont="1" applyFill="1" applyAlignment="1">
      <alignment horizontal="center"/>
    </xf>
    <xf numFmtId="164" fontId="0" fillId="3" borderId="1" xfId="0" applyNumberFormat="1" applyFill="1" applyBorder="1" applyAlignment="1">
      <alignment horizontal="center"/>
    </xf>
    <xf numFmtId="164" fontId="0" fillId="11" borderId="1" xfId="0" applyNumberFormat="1" applyFill="1" applyBorder="1" applyAlignment="1">
      <alignment horizontal="center"/>
    </xf>
    <xf numFmtId="171" fontId="0" fillId="11" borderId="0" xfId="0" applyNumberFormat="1" applyFill="1" applyAlignment="1">
      <alignment horizontal="center"/>
    </xf>
    <xf numFmtId="0" fontId="18" fillId="0" borderId="3" xfId="0" applyFont="1" applyBorder="1" applyAlignment="1">
      <alignment horizontal="center"/>
    </xf>
    <xf numFmtId="0" fontId="18" fillId="0" borderId="37" xfId="0" applyFont="1" applyBorder="1" applyAlignment="1">
      <alignment horizontal="center"/>
    </xf>
    <xf numFmtId="0" fontId="18" fillId="0" borderId="4" xfId="0" applyFont="1" applyBorder="1" applyAlignment="1">
      <alignment horizontal="center"/>
    </xf>
    <xf numFmtId="164" fontId="0" fillId="3" borderId="6" xfId="0" applyNumberFormat="1" applyFill="1" applyBorder="1" applyAlignment="1">
      <alignment horizontal="center"/>
    </xf>
    <xf numFmtId="164" fontId="20" fillId="3" borderId="40" xfId="0" applyNumberFormat="1" applyFont="1" applyFill="1" applyBorder="1" applyAlignment="1">
      <alignment horizontal="center" vertical="center"/>
    </xf>
    <xf numFmtId="164" fontId="20" fillId="3" borderId="8" xfId="0" applyNumberFormat="1" applyFont="1" applyFill="1" applyBorder="1" applyAlignment="1">
      <alignment horizontal="center" vertical="center"/>
    </xf>
    <xf numFmtId="164" fontId="0" fillId="3" borderId="5" xfId="0" applyNumberFormat="1" applyFill="1" applyBorder="1" applyAlignment="1">
      <alignment horizontal="center"/>
    </xf>
    <xf numFmtId="164" fontId="20" fillId="3" borderId="7" xfId="0" applyNumberFormat="1" applyFont="1" applyFill="1" applyBorder="1" applyAlignment="1">
      <alignment horizontal="center" vertical="center"/>
    </xf>
    <xf numFmtId="0" fontId="0" fillId="11" borderId="0" xfId="0" applyFill="1"/>
    <xf numFmtId="0" fontId="0" fillId="0" borderId="41" xfId="0" applyBorder="1" applyAlignment="1">
      <alignment horizontal="center"/>
    </xf>
    <xf numFmtId="0" fontId="0" fillId="0" borderId="38" xfId="0" applyBorder="1" applyAlignment="1">
      <alignment horizontal="center"/>
    </xf>
    <xf numFmtId="0" fontId="0" fillId="3" borderId="5" xfId="0" applyFill="1" applyBorder="1"/>
    <xf numFmtId="0" fontId="25" fillId="11" borderId="0" xfId="0" applyFont="1" applyFill="1" applyAlignment="1">
      <alignment vertical="center"/>
    </xf>
    <xf numFmtId="0" fontId="27" fillId="11" borderId="0" xfId="0" applyFont="1" applyFill="1"/>
    <xf numFmtId="0" fontId="0" fillId="11" borderId="0" xfId="0" applyFill="1" applyAlignment="1">
      <alignment horizontal="center"/>
    </xf>
    <xf numFmtId="0" fontId="21" fillId="11" borderId="0" xfId="0" applyFont="1" applyFill="1" applyAlignment="1">
      <alignment vertical="center"/>
    </xf>
    <xf numFmtId="176" fontId="18" fillId="11" borderId="0" xfId="0" applyNumberFormat="1" applyFont="1" applyFill="1" applyAlignment="1">
      <alignment horizontal="center"/>
    </xf>
    <xf numFmtId="0" fontId="0" fillId="11" borderId="0" xfId="0" applyFill="1" applyAlignment="1">
      <alignment vertical="center"/>
    </xf>
    <xf numFmtId="164" fontId="0" fillId="11" borderId="0" xfId="0" applyNumberFormat="1" applyFill="1" applyAlignment="1">
      <alignment horizontal="center"/>
    </xf>
    <xf numFmtId="167" fontId="0" fillId="11" borderId="0" xfId="0" applyNumberFormat="1" applyFill="1" applyAlignment="1">
      <alignment horizontal="center"/>
    </xf>
    <xf numFmtId="168" fontId="0" fillId="11" borderId="0" xfId="0" applyNumberFormat="1" applyFill="1" applyAlignment="1">
      <alignment horizontal="center"/>
    </xf>
    <xf numFmtId="172" fontId="0" fillId="11" borderId="0" xfId="0" applyNumberFormat="1" applyFill="1" applyAlignment="1">
      <alignment horizontal="center"/>
    </xf>
    <xf numFmtId="173" fontId="0" fillId="11" borderId="0" xfId="0" applyNumberFormat="1" applyFill="1" applyAlignment="1">
      <alignment horizontal="center"/>
    </xf>
    <xf numFmtId="0" fontId="18" fillId="11" borderId="1" xfId="0" applyFont="1" applyFill="1" applyBorder="1" applyAlignment="1">
      <alignment horizontal="center"/>
    </xf>
    <xf numFmtId="2" fontId="0" fillId="11" borderId="1" xfId="0" applyNumberFormat="1" applyFill="1" applyBorder="1" applyAlignment="1">
      <alignment horizontal="center"/>
    </xf>
    <xf numFmtId="164" fontId="20" fillId="11" borderId="1" xfId="0" applyNumberFormat="1" applyFont="1" applyFill="1" applyBorder="1" applyAlignment="1">
      <alignment horizontal="center" vertical="center"/>
    </xf>
    <xf numFmtId="164" fontId="0" fillId="11" borderId="0" xfId="0" applyNumberFormat="1" applyFill="1"/>
    <xf numFmtId="0" fontId="29" fillId="11" borderId="0" xfId="0" applyFont="1" applyFill="1" applyAlignment="1">
      <alignment horizontal="center"/>
    </xf>
    <xf numFmtId="0" fontId="30" fillId="11" borderId="0" xfId="0" applyFont="1" applyFill="1"/>
    <xf numFmtId="0" fontId="24" fillId="11" borderId="0" xfId="0" applyFont="1" applyFill="1" applyAlignment="1">
      <alignment vertical="top"/>
    </xf>
    <xf numFmtId="0" fontId="0" fillId="11" borderId="0" xfId="0" applyFill="1" applyAlignment="1">
      <alignment vertical="top"/>
    </xf>
    <xf numFmtId="0" fontId="13" fillId="11" borderId="0" xfId="2" applyFill="1" applyAlignment="1" applyProtection="1">
      <alignment horizontal="left"/>
    </xf>
    <xf numFmtId="0" fontId="32" fillId="11" borderId="0" xfId="2" applyFont="1" applyFill="1" applyAlignment="1" applyProtection="1">
      <alignment horizontal="left"/>
    </xf>
    <xf numFmtId="0" fontId="0" fillId="2" borderId="3" xfId="0" applyFill="1" applyBorder="1"/>
    <xf numFmtId="0" fontId="0" fillId="12" borderId="5" xfId="0" applyFill="1" applyBorder="1"/>
    <xf numFmtId="164" fontId="23" fillId="11" borderId="32" xfId="0" applyNumberFormat="1" applyFont="1" applyFill="1" applyBorder="1" applyAlignment="1">
      <alignment horizontal="center" vertical="center"/>
    </xf>
    <xf numFmtId="164" fontId="23" fillId="11" borderId="33" xfId="0" applyNumberFormat="1" applyFont="1" applyFill="1" applyBorder="1" applyAlignment="1">
      <alignment horizontal="center" vertical="center"/>
    </xf>
    <xf numFmtId="0" fontId="3" fillId="11" borderId="0" xfId="0" applyFont="1" applyFill="1"/>
    <xf numFmtId="0" fontId="0" fillId="11" borderId="0" xfId="0" applyFill="1" applyAlignment="1">
      <alignment horizontal="left"/>
    </xf>
    <xf numFmtId="164" fontId="22" fillId="11" borderId="0" xfId="0" applyNumberFormat="1" applyFont="1" applyFill="1" applyAlignment="1">
      <alignment horizontal="left"/>
    </xf>
    <xf numFmtId="2" fontId="2" fillId="3" borderId="1" xfId="0" applyNumberFormat="1" applyFont="1" applyFill="1" applyBorder="1"/>
    <xf numFmtId="0" fontId="37" fillId="11" borderId="0" xfId="0" applyFont="1" applyFill="1"/>
    <xf numFmtId="164" fontId="3" fillId="11" borderId="0" xfId="0" applyNumberFormat="1" applyFont="1" applyFill="1"/>
    <xf numFmtId="0" fontId="20" fillId="11" borderId="0" xfId="0" applyFont="1" applyFill="1"/>
    <xf numFmtId="0" fontId="26" fillId="14" borderId="20" xfId="0" applyFont="1" applyFill="1" applyBorder="1"/>
    <xf numFmtId="0" fontId="26" fillId="14" borderId="44" xfId="0" applyFont="1" applyFill="1" applyBorder="1"/>
    <xf numFmtId="0" fontId="26" fillId="14" borderId="21" xfId="0" applyFont="1" applyFill="1" applyBorder="1"/>
    <xf numFmtId="0" fontId="14" fillId="11" borderId="0" xfId="0" applyFont="1" applyFill="1" applyAlignment="1">
      <alignment horizontal="center" vertical="center"/>
    </xf>
    <xf numFmtId="0" fontId="39" fillId="11" borderId="0" xfId="0" applyFont="1" applyFill="1" applyAlignment="1">
      <alignment horizontal="right"/>
    </xf>
    <xf numFmtId="0" fontId="40" fillId="11" borderId="0" xfId="0" applyFont="1" applyFill="1" applyAlignment="1">
      <alignment vertical="top"/>
    </xf>
    <xf numFmtId="0" fontId="39" fillId="11" borderId="0" xfId="0" applyFont="1" applyFill="1"/>
    <xf numFmtId="0" fontId="40" fillId="11" borderId="0" xfId="0" applyFont="1" applyFill="1" applyAlignment="1">
      <alignment horizontal="right" vertical="top"/>
    </xf>
    <xf numFmtId="0" fontId="41" fillId="11" borderId="0" xfId="0" applyFont="1" applyFill="1" applyAlignment="1">
      <alignment vertical="top"/>
    </xf>
    <xf numFmtId="171" fontId="0" fillId="3" borderId="16" xfId="0" applyNumberFormat="1" applyFill="1" applyBorder="1" applyAlignment="1">
      <alignment horizontal="center" vertical="center"/>
    </xf>
    <xf numFmtId="167" fontId="18" fillId="3" borderId="34" xfId="0" applyNumberFormat="1" applyFont="1" applyFill="1" applyBorder="1" applyAlignment="1">
      <alignment horizontal="center" vertical="center"/>
    </xf>
    <xf numFmtId="0" fontId="28" fillId="0" borderId="0" xfId="0" applyFont="1" applyAlignment="1">
      <alignment vertical="center" wrapText="1"/>
    </xf>
    <xf numFmtId="0" fontId="0" fillId="15" borderId="7" xfId="0" applyFill="1" applyBorder="1"/>
    <xf numFmtId="0" fontId="0" fillId="11" borderId="0" xfId="0" applyFill="1" applyAlignment="1">
      <alignment horizontal="center" vertical="center"/>
    </xf>
    <xf numFmtId="164" fontId="0" fillId="11" borderId="0" xfId="0" applyNumberFormat="1" applyFill="1" applyAlignment="1">
      <alignment horizontal="center" vertical="center"/>
    </xf>
    <xf numFmtId="0" fontId="18" fillId="11" borderId="0" xfId="0" applyFont="1" applyFill="1" applyAlignment="1">
      <alignment horizontal="center" vertical="center"/>
    </xf>
    <xf numFmtId="172" fontId="0" fillId="3" borderId="16" xfId="0" applyNumberFormat="1" applyFill="1" applyBorder="1" applyAlignment="1">
      <alignment horizontal="center" vertical="center"/>
    </xf>
    <xf numFmtId="2" fontId="3" fillId="11" borderId="0" xfId="0" applyNumberFormat="1" applyFont="1" applyFill="1"/>
    <xf numFmtId="164" fontId="0" fillId="11" borderId="1" xfId="0" applyNumberFormat="1" applyFill="1" applyBorder="1" applyAlignment="1">
      <alignment horizontal="center" vertical="center"/>
    </xf>
    <xf numFmtId="0" fontId="44" fillId="11" borderId="0" xfId="0" applyFont="1" applyFill="1" applyAlignment="1">
      <alignment horizontal="left"/>
    </xf>
    <xf numFmtId="0" fontId="0" fillId="11" borderId="0" xfId="0" applyFill="1" applyAlignment="1">
      <alignment horizontal="left" vertical="top"/>
    </xf>
    <xf numFmtId="164" fontId="20" fillId="11" borderId="0" xfId="0" applyNumberFormat="1" applyFont="1" applyFill="1"/>
    <xf numFmtId="0" fontId="3" fillId="0" borderId="0" xfId="0" applyFont="1"/>
    <xf numFmtId="2" fontId="0" fillId="2" borderId="35" xfId="0" applyNumberFormat="1"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171" fontId="0" fillId="2" borderId="9" xfId="0" applyNumberFormat="1" applyFill="1" applyBorder="1" applyAlignment="1" applyProtection="1">
      <alignment horizontal="center" vertical="center"/>
      <protection locked="0"/>
    </xf>
    <xf numFmtId="171" fontId="0" fillId="2" borderId="11" xfId="0" applyNumberFormat="1" applyFill="1" applyBorder="1" applyAlignment="1" applyProtection="1">
      <alignment horizontal="center" vertical="center"/>
      <protection locked="0"/>
    </xf>
    <xf numFmtId="171" fontId="0" fillId="12" borderId="11" xfId="1" applyNumberFormat="1" applyFont="1" applyFill="1" applyBorder="1" applyAlignment="1" applyProtection="1">
      <alignment horizontal="center" vertical="center"/>
      <protection locked="0"/>
    </xf>
    <xf numFmtId="168" fontId="0" fillId="2" borderId="9" xfId="0" applyNumberFormat="1" applyFill="1" applyBorder="1" applyAlignment="1" applyProtection="1">
      <alignment horizontal="center" vertical="center"/>
      <protection locked="0"/>
    </xf>
    <xf numFmtId="174" fontId="0" fillId="2" borderId="10" xfId="1" applyNumberFormat="1" applyFont="1" applyFill="1" applyBorder="1" applyAlignment="1" applyProtection="1">
      <alignment horizontal="center" vertical="center"/>
      <protection locked="0"/>
    </xf>
    <xf numFmtId="175" fontId="0" fillId="2" borderId="10" xfId="0" applyNumberFormat="1" applyFill="1" applyBorder="1" applyAlignment="1" applyProtection="1">
      <alignment horizontal="center" vertical="center"/>
      <protection locked="0"/>
    </xf>
    <xf numFmtId="167" fontId="18" fillId="2" borderId="11" xfId="1" applyNumberFormat="1" applyFont="1" applyFill="1" applyBorder="1" applyAlignment="1" applyProtection="1">
      <alignment horizontal="center" vertical="center"/>
      <protection locked="0"/>
    </xf>
    <xf numFmtId="172" fontId="0" fillId="12" borderId="11" xfId="1" applyNumberFormat="1" applyFont="1" applyFill="1" applyBorder="1" applyAlignment="1" applyProtection="1">
      <alignment horizontal="center" vertical="center"/>
      <protection locked="0"/>
    </xf>
    <xf numFmtId="0" fontId="0" fillId="2" borderId="1" xfId="0" applyFill="1" applyBorder="1" applyProtection="1">
      <protection locked="0"/>
    </xf>
    <xf numFmtId="9" fontId="0" fillId="2" borderId="1" xfId="1" applyFont="1" applyFill="1" applyBorder="1" applyProtection="1">
      <protection locked="0"/>
    </xf>
    <xf numFmtId="0" fontId="0" fillId="7" borderId="1" xfId="0" applyFill="1" applyBorder="1" applyProtection="1">
      <protection locked="0"/>
    </xf>
    <xf numFmtId="171" fontId="0" fillId="2" borderId="1" xfId="0" applyNumberFormat="1" applyFill="1" applyBorder="1" applyProtection="1">
      <protection locked="0"/>
    </xf>
    <xf numFmtId="166" fontId="0" fillId="2" borderId="1" xfId="0" applyNumberFormat="1" applyFill="1" applyBorder="1" applyProtection="1">
      <protection locked="0"/>
    </xf>
    <xf numFmtId="0" fontId="0" fillId="2" borderId="0" xfId="0" applyFill="1" applyProtection="1">
      <protection locked="0"/>
    </xf>
    <xf numFmtId="0" fontId="6" fillId="0" borderId="23" xfId="0" applyFont="1" applyBorder="1" applyAlignment="1">
      <alignment horizontal="center" vertical="center" wrapText="1" readingOrder="1"/>
    </xf>
    <xf numFmtId="0" fontId="6" fillId="0" borderId="24" xfId="0" applyFont="1" applyBorder="1" applyAlignment="1">
      <alignment horizontal="center" vertical="center" wrapText="1" readingOrder="1"/>
    </xf>
    <xf numFmtId="0" fontId="0" fillId="0" borderId="3" xfId="0"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6" fillId="0" borderId="25" xfId="0" applyFont="1" applyBorder="1" applyAlignment="1">
      <alignment horizontal="center" vertical="center" wrapText="1" readingOrder="1"/>
    </xf>
    <xf numFmtId="0" fontId="6" fillId="0" borderId="27"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30" xfId="0" applyFont="1" applyBorder="1" applyAlignment="1">
      <alignment horizontal="center" vertical="center" wrapText="1" readingOrder="1"/>
    </xf>
    <xf numFmtId="0" fontId="6" fillId="0" borderId="26" xfId="0" applyFont="1" applyBorder="1" applyAlignment="1">
      <alignment horizontal="center" vertical="center" wrapText="1" readingOrder="1"/>
    </xf>
    <xf numFmtId="0" fontId="6" fillId="0" borderId="29" xfId="0" applyFont="1" applyBorder="1" applyAlignment="1">
      <alignment horizontal="center" vertical="center" wrapText="1" readingOrder="1"/>
    </xf>
    <xf numFmtId="164" fontId="22" fillId="11" borderId="0" xfId="0" applyNumberFormat="1" applyFont="1" applyFill="1" applyAlignment="1">
      <alignment horizontal="left" vertical="top" wrapText="1"/>
    </xf>
    <xf numFmtId="0" fontId="37" fillId="11" borderId="0" xfId="0" applyFont="1" applyFill="1" applyAlignment="1">
      <alignment horizontal="left" vertical="center"/>
    </xf>
    <xf numFmtId="0" fontId="43" fillId="11" borderId="51" xfId="0" applyFont="1" applyFill="1" applyBorder="1" applyAlignment="1">
      <alignment horizontal="center" vertical="center"/>
    </xf>
    <xf numFmtId="164" fontId="23" fillId="3" borderId="39" xfId="0" applyNumberFormat="1" applyFont="1" applyFill="1" applyBorder="1" applyAlignment="1">
      <alignment horizontal="center" vertical="center"/>
    </xf>
    <xf numFmtId="164" fontId="23" fillId="3" borderId="12" xfId="0" applyNumberFormat="1" applyFont="1" applyFill="1" applyBorder="1" applyAlignment="1">
      <alignment horizontal="center" vertical="center"/>
    </xf>
    <xf numFmtId="0" fontId="45" fillId="11" borderId="0" xfId="0" applyFont="1" applyFill="1" applyAlignment="1">
      <alignment horizontal="right" vertical="top" wrapText="1"/>
    </xf>
    <xf numFmtId="0" fontId="42" fillId="11" borderId="0" xfId="0" applyFont="1" applyFill="1" applyAlignment="1">
      <alignment horizontal="center"/>
    </xf>
    <xf numFmtId="171" fontId="0" fillId="2" borderId="14" xfId="1" applyNumberFormat="1" applyFont="1" applyFill="1" applyBorder="1" applyAlignment="1" applyProtection="1">
      <alignment horizontal="center" vertical="center"/>
      <protection locked="0"/>
    </xf>
    <xf numFmtId="171" fontId="0" fillId="2" borderId="16" xfId="1" applyNumberFormat="1" applyFont="1" applyFill="1" applyBorder="1" applyAlignment="1" applyProtection="1">
      <alignment horizontal="center" vertical="center"/>
      <protection locked="0"/>
    </xf>
    <xf numFmtId="0" fontId="46" fillId="11" borderId="0" xfId="0" applyFont="1" applyFill="1" applyAlignment="1">
      <alignment horizontal="center" vertical="center" wrapText="1"/>
    </xf>
    <xf numFmtId="0" fontId="18" fillId="0" borderId="0" xfId="0" applyFont="1" applyAlignment="1">
      <alignment horizontal="center" vertical="center"/>
    </xf>
    <xf numFmtId="0" fontId="36" fillId="13" borderId="48" xfId="0" applyFont="1" applyFill="1" applyBorder="1" applyAlignment="1">
      <alignment horizontal="center" vertical="center" wrapText="1"/>
    </xf>
    <xf numFmtId="0" fontId="36" fillId="13" borderId="49" xfId="0" applyFont="1" applyFill="1" applyBorder="1" applyAlignment="1">
      <alignment horizontal="center" vertical="center" wrapText="1"/>
    </xf>
    <xf numFmtId="0" fontId="36" fillId="13" borderId="50" xfId="0" applyFont="1" applyFill="1" applyBorder="1" applyAlignment="1">
      <alignment horizontal="center" vertical="center" wrapText="1"/>
    </xf>
    <xf numFmtId="0" fontId="0" fillId="0" borderId="17" xfId="0" applyBorder="1" applyAlignment="1">
      <alignment horizontal="left"/>
    </xf>
    <xf numFmtId="0" fontId="0" fillId="0" borderId="43" xfId="0" applyBorder="1" applyAlignment="1">
      <alignment horizontal="left"/>
    </xf>
    <xf numFmtId="0" fontId="0" fillId="0" borderId="2" xfId="0" applyBorder="1" applyAlignment="1">
      <alignment horizontal="left"/>
    </xf>
    <xf numFmtId="0" fontId="0" fillId="0" borderId="45" xfId="0" applyBorder="1" applyAlignment="1">
      <alignment horizontal="left"/>
    </xf>
    <xf numFmtId="0" fontId="0" fillId="11" borderId="2" xfId="0" applyFill="1" applyBorder="1" applyAlignment="1">
      <alignment horizontal="left"/>
    </xf>
    <xf numFmtId="0" fontId="0" fillId="11" borderId="45" xfId="0" applyFill="1" applyBorder="1" applyAlignment="1">
      <alignment horizontal="left"/>
    </xf>
    <xf numFmtId="0" fontId="0" fillId="0" borderId="18" xfId="0" applyBorder="1" applyAlignment="1">
      <alignment horizontal="left"/>
    </xf>
    <xf numFmtId="0" fontId="0" fillId="0" borderId="42" xfId="0" applyBorder="1" applyAlignment="1">
      <alignment horizontal="left"/>
    </xf>
    <xf numFmtId="177" fontId="38" fillId="15" borderId="20" xfId="0" applyNumberFormat="1" applyFont="1" applyFill="1" applyBorder="1" applyAlignment="1">
      <alignment horizontal="center" vertical="center"/>
    </xf>
    <xf numFmtId="177" fontId="38" fillId="15" borderId="21" xfId="0" applyNumberFormat="1" applyFont="1" applyFill="1" applyBorder="1" applyAlignment="1">
      <alignment horizontal="center" vertical="center"/>
    </xf>
    <xf numFmtId="177" fontId="38" fillId="15" borderId="46" xfId="0" applyNumberFormat="1" applyFont="1" applyFill="1" applyBorder="1" applyAlignment="1">
      <alignment horizontal="center" vertical="center"/>
    </xf>
    <xf numFmtId="177" fontId="38" fillId="15" borderId="47" xfId="0" applyNumberFormat="1" applyFont="1" applyFill="1" applyBorder="1" applyAlignment="1">
      <alignment horizontal="center" vertical="center"/>
    </xf>
    <xf numFmtId="177" fontId="38" fillId="3" borderId="20" xfId="0" applyNumberFormat="1" applyFont="1" applyFill="1" applyBorder="1" applyAlignment="1">
      <alignment horizontal="center" vertical="center"/>
    </xf>
    <xf numFmtId="177" fontId="38" fillId="3" borderId="21" xfId="0" applyNumberFormat="1" applyFont="1" applyFill="1" applyBorder="1" applyAlignment="1">
      <alignment horizontal="center" vertical="center"/>
    </xf>
    <xf numFmtId="177" fontId="38" fillId="3" borderId="46" xfId="0" applyNumberFormat="1" applyFont="1" applyFill="1" applyBorder="1" applyAlignment="1">
      <alignment horizontal="center" vertical="center"/>
    </xf>
    <xf numFmtId="177" fontId="38" fillId="3" borderId="47" xfId="0" applyNumberFormat="1" applyFont="1" applyFill="1" applyBorder="1" applyAlignment="1">
      <alignment horizontal="center" vertical="center"/>
    </xf>
    <xf numFmtId="177" fontId="26" fillId="16" borderId="14" xfId="0" applyNumberFormat="1" applyFont="1" applyFill="1" applyBorder="1" applyAlignment="1">
      <alignment horizontal="center" vertical="center"/>
    </xf>
    <xf numFmtId="177" fontId="26" fillId="16" borderId="16" xfId="0" applyNumberFormat="1" applyFont="1" applyFill="1" applyBorder="1" applyAlignment="1">
      <alignment horizontal="center" vertical="center"/>
    </xf>
  </cellXfs>
  <cellStyles count="5">
    <cellStyle name="Bad" xfId="3" builtinId="27"/>
    <cellStyle name="Hyperlink" xfId="2" builtinId="8"/>
    <cellStyle name="Input" xfId="4" builtinId="20"/>
    <cellStyle name="Normal" xfId="0" builtinId="0"/>
    <cellStyle name="Percent" xfId="1" builtinId="5"/>
  </cellStyles>
  <dxfs count="9">
    <dxf>
      <font>
        <b/>
        <i val="0"/>
        <strike val="0"/>
        <color rgb="FFFF0000"/>
      </font>
    </dxf>
    <dxf>
      <font>
        <b/>
        <i val="0"/>
        <color rgb="FFFF0000"/>
      </font>
    </dxf>
    <dxf>
      <font>
        <b/>
        <i val="0"/>
        <color rgb="FFFF0000"/>
      </font>
    </dxf>
    <dxf>
      <font>
        <b/>
        <i val="0"/>
        <color rgb="FFFF0000"/>
      </font>
    </dxf>
    <dxf>
      <font>
        <color theme="0"/>
      </font>
      <fill>
        <patternFill>
          <bgColor theme="0"/>
        </patternFill>
      </fill>
    </dxf>
    <dxf>
      <font>
        <color theme="0"/>
      </font>
      <fill>
        <patternFill>
          <bgColor theme="0"/>
        </patternFill>
      </fill>
      <border>
        <left/>
        <right/>
        <top/>
        <bottom style="thin">
          <color auto="1"/>
        </bottom>
        <vertical/>
        <horizontal/>
      </border>
    </dxf>
    <dxf>
      <font>
        <color theme="0"/>
      </font>
      <fill>
        <patternFill patternType="solid">
          <bgColor theme="0"/>
        </patternFill>
      </fill>
    </dxf>
    <dxf>
      <font>
        <color theme="0"/>
      </font>
      <fill>
        <patternFill patternType="solid">
          <bgColor theme="0"/>
        </patternFill>
      </fill>
    </dxf>
    <dxf>
      <font>
        <color theme="0"/>
      </font>
    </dxf>
  </dxfs>
  <tableStyles count="0" defaultTableStyle="TableStyleMedium9" defaultPivotStyle="PivotStyleLight16"/>
  <colors>
    <mruColors>
      <color rgb="FF20D028"/>
      <color rgb="FF0066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t>Bitumin/Concrete</a:t>
            </a:r>
            <a:r>
              <a:rPr lang="en-NZ" baseline="0"/>
              <a:t> Road - Cars</a:t>
            </a:r>
            <a:endParaRPr lang="en-NZ"/>
          </a:p>
        </c:rich>
      </c:tx>
      <c:overlay val="0"/>
    </c:title>
    <c:autoTitleDeleted val="0"/>
    <c:plotArea>
      <c:layout/>
      <c:lineChart>
        <c:grouping val="standard"/>
        <c:varyColors val="0"/>
        <c:ser>
          <c:idx val="0"/>
          <c:order val="0"/>
          <c:trendline>
            <c:trendlineType val="linear"/>
            <c:dispRSqr val="0"/>
            <c:dispEq val="0"/>
          </c:trendline>
          <c:cat>
            <c:numRef>
              <c:f>'ASD-SSD-SiSD and modified'!$K$6:$K$20</c:f>
              <c:numCache>
                <c:formatCode>General</c:formatCode>
                <c:ptCount val="15"/>
                <c:pt idx="0">
                  <c:v>0</c:v>
                </c:pt>
                <c:pt idx="1">
                  <c:v>10</c:v>
                </c:pt>
                <c:pt idx="2">
                  <c:v>20</c:v>
                </c:pt>
                <c:pt idx="3">
                  <c:v>30</c:v>
                </c:pt>
                <c:pt idx="4">
                  <c:v>40</c:v>
                </c:pt>
                <c:pt idx="5">
                  <c:v>50</c:v>
                </c:pt>
                <c:pt idx="6">
                  <c:v>60</c:v>
                </c:pt>
                <c:pt idx="8">
                  <c:v>70</c:v>
                </c:pt>
                <c:pt idx="11">
                  <c:v>80</c:v>
                </c:pt>
                <c:pt idx="13">
                  <c:v>90</c:v>
                </c:pt>
                <c:pt idx="14">
                  <c:v>100</c:v>
                </c:pt>
              </c:numCache>
            </c:numRef>
          </c:cat>
          <c:val>
            <c:numRef>
              <c:f>'ASD-SSD-SiSD and modified'!$L$6:$L$20</c:f>
              <c:numCache>
                <c:formatCode>General</c:formatCode>
                <c:ptCount val="15"/>
                <c:pt idx="4">
                  <c:v>0.52</c:v>
                </c:pt>
                <c:pt idx="5">
                  <c:v>0.5</c:v>
                </c:pt>
                <c:pt idx="6">
                  <c:v>0.47</c:v>
                </c:pt>
                <c:pt idx="8">
                  <c:v>0.45</c:v>
                </c:pt>
                <c:pt idx="11">
                  <c:v>0.43</c:v>
                </c:pt>
              </c:numCache>
            </c:numRef>
          </c:val>
          <c:smooth val="0"/>
          <c:extLst>
            <c:ext xmlns:c16="http://schemas.microsoft.com/office/drawing/2014/chart" uri="{C3380CC4-5D6E-409C-BE32-E72D297353CC}">
              <c16:uniqueId val="{00000000-8DC2-4D56-8B9C-E848440A0CA6}"/>
            </c:ext>
          </c:extLst>
        </c:ser>
        <c:dLbls>
          <c:showLegendKey val="0"/>
          <c:showVal val="0"/>
          <c:showCatName val="0"/>
          <c:showSerName val="0"/>
          <c:showPercent val="0"/>
          <c:showBubbleSize val="0"/>
        </c:dLbls>
        <c:marker val="1"/>
        <c:smooth val="0"/>
        <c:axId val="-1504545632"/>
        <c:axId val="-1504526592"/>
      </c:lineChart>
      <c:catAx>
        <c:axId val="-1504545632"/>
        <c:scaling>
          <c:orientation val="minMax"/>
        </c:scaling>
        <c:delete val="0"/>
        <c:axPos val="b"/>
        <c:numFmt formatCode="General" sourceLinked="1"/>
        <c:majorTickMark val="out"/>
        <c:minorTickMark val="none"/>
        <c:tickLblPos val="nextTo"/>
        <c:crossAx val="-1504526592"/>
        <c:crosses val="autoZero"/>
        <c:auto val="1"/>
        <c:lblAlgn val="ctr"/>
        <c:lblOffset val="100"/>
        <c:noMultiLvlLbl val="0"/>
      </c:catAx>
      <c:valAx>
        <c:axId val="-1504526592"/>
        <c:scaling>
          <c:orientation val="minMax"/>
        </c:scaling>
        <c:delete val="0"/>
        <c:axPos val="l"/>
        <c:majorGridlines/>
        <c:numFmt formatCode="General" sourceLinked="0"/>
        <c:majorTickMark val="out"/>
        <c:minorTickMark val="none"/>
        <c:tickLblPos val="nextTo"/>
        <c:crossAx val="-1504545632"/>
        <c:crosses val="autoZero"/>
        <c:crossBetween val="between"/>
      </c:valAx>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a:t>UnSealed Roads - Cars</a:t>
            </a:r>
          </a:p>
        </c:rich>
      </c:tx>
      <c:overlay val="0"/>
    </c:title>
    <c:autoTitleDeleted val="0"/>
    <c:plotArea>
      <c:layout>
        <c:manualLayout>
          <c:layoutTarget val="inner"/>
          <c:xMode val="edge"/>
          <c:yMode val="edge"/>
          <c:x val="0.11411036855687157"/>
          <c:y val="0.14958351904125189"/>
          <c:w val="0.59143055647455833"/>
          <c:h val="0.71017481305403019"/>
        </c:manualLayout>
      </c:layout>
      <c:lineChart>
        <c:grouping val="standard"/>
        <c:varyColors val="0"/>
        <c:ser>
          <c:idx val="0"/>
          <c:order val="1"/>
          <c:tx>
            <c:strRef>
              <c:f>'ASD-SSD-SiSD and modified'!$L$4</c:f>
              <c:strCache>
                <c:ptCount val="1"/>
                <c:pt idx="0">
                  <c:v>Friction</c:v>
                </c:pt>
              </c:strCache>
            </c:strRef>
          </c:tx>
          <c:cat>
            <c:numRef>
              <c:f>'ASD-SSD-SiSD and modified'!$K$6:$K$20</c:f>
              <c:numCache>
                <c:formatCode>General</c:formatCode>
                <c:ptCount val="15"/>
                <c:pt idx="0">
                  <c:v>0</c:v>
                </c:pt>
                <c:pt idx="1">
                  <c:v>10</c:v>
                </c:pt>
                <c:pt idx="2">
                  <c:v>20</c:v>
                </c:pt>
                <c:pt idx="3">
                  <c:v>30</c:v>
                </c:pt>
                <c:pt idx="4">
                  <c:v>40</c:v>
                </c:pt>
                <c:pt idx="5">
                  <c:v>50</c:v>
                </c:pt>
                <c:pt idx="6">
                  <c:v>60</c:v>
                </c:pt>
                <c:pt idx="8">
                  <c:v>70</c:v>
                </c:pt>
                <c:pt idx="11">
                  <c:v>80</c:v>
                </c:pt>
                <c:pt idx="13">
                  <c:v>90</c:v>
                </c:pt>
                <c:pt idx="14">
                  <c:v>100</c:v>
                </c:pt>
              </c:numCache>
            </c:numRef>
          </c:cat>
          <c:val>
            <c:numRef>
              <c:f>'ASD-SSD-SiSD and modified'!$N$6:$N$20</c:f>
              <c:numCache>
                <c:formatCode>General</c:formatCode>
                <c:ptCount val="15"/>
                <c:pt idx="4">
                  <c:v>0.27</c:v>
                </c:pt>
                <c:pt idx="5">
                  <c:v>0.27</c:v>
                </c:pt>
                <c:pt idx="6">
                  <c:v>0.27</c:v>
                </c:pt>
                <c:pt idx="8">
                  <c:v>0.26</c:v>
                </c:pt>
                <c:pt idx="11">
                  <c:v>0.25</c:v>
                </c:pt>
                <c:pt idx="13">
                  <c:v>0.24</c:v>
                </c:pt>
              </c:numCache>
            </c:numRef>
          </c:val>
          <c:smooth val="0"/>
          <c:extLst>
            <c:ext xmlns:c16="http://schemas.microsoft.com/office/drawing/2014/chart" uri="{C3380CC4-5D6E-409C-BE32-E72D297353CC}">
              <c16:uniqueId val="{00000000-9F54-417E-897B-49631E2C928E}"/>
            </c:ext>
          </c:extLst>
        </c:ser>
        <c:ser>
          <c:idx val="1"/>
          <c:order val="0"/>
          <c:tx>
            <c:strRef>
              <c:f>'ASD-SSD-SiSD and modified'!$L$4</c:f>
              <c:strCache>
                <c:ptCount val="1"/>
                <c:pt idx="0">
                  <c:v>Friction</c:v>
                </c:pt>
              </c:strCache>
            </c:strRef>
          </c:tx>
          <c:trendline>
            <c:trendlineType val="linear"/>
            <c:dispRSqr val="0"/>
            <c:dispEq val="0"/>
          </c:trendline>
          <c:cat>
            <c:numRef>
              <c:f>'ASD-SSD-SiSD and modified'!$K$6:$K$20</c:f>
              <c:numCache>
                <c:formatCode>General</c:formatCode>
                <c:ptCount val="15"/>
                <c:pt idx="0">
                  <c:v>0</c:v>
                </c:pt>
                <c:pt idx="1">
                  <c:v>10</c:v>
                </c:pt>
                <c:pt idx="2">
                  <c:v>20</c:v>
                </c:pt>
                <c:pt idx="3">
                  <c:v>30</c:v>
                </c:pt>
                <c:pt idx="4">
                  <c:v>40</c:v>
                </c:pt>
                <c:pt idx="5">
                  <c:v>50</c:v>
                </c:pt>
                <c:pt idx="6">
                  <c:v>60</c:v>
                </c:pt>
                <c:pt idx="8">
                  <c:v>70</c:v>
                </c:pt>
                <c:pt idx="11">
                  <c:v>80</c:v>
                </c:pt>
                <c:pt idx="13">
                  <c:v>90</c:v>
                </c:pt>
                <c:pt idx="14">
                  <c:v>100</c:v>
                </c:pt>
              </c:numCache>
            </c:numRef>
          </c:cat>
          <c:val>
            <c:numRef>
              <c:f>'ASD-SSD-SiSD and modified'!$N$6:$N$20</c:f>
              <c:numCache>
                <c:formatCode>General</c:formatCode>
                <c:ptCount val="15"/>
                <c:pt idx="4">
                  <c:v>0.27</c:v>
                </c:pt>
                <c:pt idx="5">
                  <c:v>0.27</c:v>
                </c:pt>
                <c:pt idx="6">
                  <c:v>0.27</c:v>
                </c:pt>
                <c:pt idx="8">
                  <c:v>0.26</c:v>
                </c:pt>
                <c:pt idx="11">
                  <c:v>0.25</c:v>
                </c:pt>
                <c:pt idx="13">
                  <c:v>0.24</c:v>
                </c:pt>
              </c:numCache>
            </c:numRef>
          </c:val>
          <c:smooth val="0"/>
          <c:extLst>
            <c:ext xmlns:c16="http://schemas.microsoft.com/office/drawing/2014/chart" uri="{C3380CC4-5D6E-409C-BE32-E72D297353CC}">
              <c16:uniqueId val="{00000001-9F54-417E-897B-49631E2C928E}"/>
            </c:ext>
          </c:extLst>
        </c:ser>
        <c:dLbls>
          <c:showLegendKey val="0"/>
          <c:showVal val="0"/>
          <c:showCatName val="0"/>
          <c:showSerName val="0"/>
          <c:showPercent val="0"/>
          <c:showBubbleSize val="0"/>
        </c:dLbls>
        <c:marker val="1"/>
        <c:smooth val="0"/>
        <c:axId val="-1504526048"/>
        <c:axId val="-1504543456"/>
      </c:lineChart>
      <c:catAx>
        <c:axId val="-1504526048"/>
        <c:scaling>
          <c:orientation val="minMax"/>
        </c:scaling>
        <c:delete val="0"/>
        <c:axPos val="b"/>
        <c:numFmt formatCode="General" sourceLinked="1"/>
        <c:majorTickMark val="out"/>
        <c:minorTickMark val="none"/>
        <c:tickLblPos val="nextTo"/>
        <c:crossAx val="-1504543456"/>
        <c:crosses val="autoZero"/>
        <c:auto val="1"/>
        <c:lblAlgn val="ctr"/>
        <c:lblOffset val="100"/>
        <c:noMultiLvlLbl val="0"/>
      </c:catAx>
      <c:valAx>
        <c:axId val="-1504543456"/>
        <c:scaling>
          <c:orientation val="minMax"/>
          <c:min val="0"/>
        </c:scaling>
        <c:delete val="0"/>
        <c:axPos val="l"/>
        <c:majorGridlines/>
        <c:numFmt formatCode="General" sourceLinked="1"/>
        <c:majorTickMark val="out"/>
        <c:minorTickMark val="none"/>
        <c:tickLblPos val="nextTo"/>
        <c:crossAx val="-1504526048"/>
        <c:crosses val="autoZero"/>
        <c:crossBetween val="between"/>
      </c:valAx>
    </c:plotArea>
    <c:legend>
      <c:legendPos val="r"/>
      <c:overlay val="0"/>
    </c:legend>
    <c:plotVisOnly val="1"/>
    <c:dispBlanksAs val="span"/>
    <c:showDLblsOverMax val="0"/>
  </c:chart>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800" b="1" i="0" baseline="0"/>
              <a:t>Bitumin/Concrete Road - Trucks</a:t>
            </a:r>
          </a:p>
        </c:rich>
      </c:tx>
      <c:overlay val="0"/>
    </c:title>
    <c:autoTitleDeleted val="0"/>
    <c:plotArea>
      <c:layout>
        <c:manualLayout>
          <c:layoutTarget val="inner"/>
          <c:xMode val="edge"/>
          <c:yMode val="edge"/>
          <c:x val="0.11411036855687157"/>
          <c:y val="0.14958351904125189"/>
          <c:w val="0.59143055647455833"/>
          <c:h val="0.71017481305403019"/>
        </c:manualLayout>
      </c:layout>
      <c:lineChart>
        <c:grouping val="standard"/>
        <c:varyColors val="0"/>
        <c:ser>
          <c:idx val="1"/>
          <c:order val="0"/>
          <c:tx>
            <c:strRef>
              <c:f>'ASD-SSD-SiSD and modified'!$L$4</c:f>
              <c:strCache>
                <c:ptCount val="1"/>
                <c:pt idx="0">
                  <c:v>Friction</c:v>
                </c:pt>
              </c:strCache>
            </c:strRef>
          </c:tx>
          <c:trendline>
            <c:trendlineType val="linear"/>
            <c:dispRSqr val="0"/>
            <c:dispEq val="0"/>
          </c:trendline>
          <c:cat>
            <c:numRef>
              <c:f>'ASD-SSD-SiSD and modified'!$K$6:$K$20</c:f>
              <c:numCache>
                <c:formatCode>General</c:formatCode>
                <c:ptCount val="15"/>
                <c:pt idx="0">
                  <c:v>0</c:v>
                </c:pt>
                <c:pt idx="1">
                  <c:v>10</c:v>
                </c:pt>
                <c:pt idx="2">
                  <c:v>20</c:v>
                </c:pt>
                <c:pt idx="3">
                  <c:v>30</c:v>
                </c:pt>
                <c:pt idx="4">
                  <c:v>40</c:v>
                </c:pt>
                <c:pt idx="5">
                  <c:v>50</c:v>
                </c:pt>
                <c:pt idx="6">
                  <c:v>60</c:v>
                </c:pt>
                <c:pt idx="8">
                  <c:v>70</c:v>
                </c:pt>
                <c:pt idx="11">
                  <c:v>80</c:v>
                </c:pt>
                <c:pt idx="13">
                  <c:v>90</c:v>
                </c:pt>
                <c:pt idx="14">
                  <c:v>100</c:v>
                </c:pt>
              </c:numCache>
            </c:numRef>
          </c:cat>
          <c:val>
            <c:numRef>
              <c:f>'ASD-SSD-SiSD and modified'!$P$6:$P$20</c:f>
              <c:numCache>
                <c:formatCode>General</c:formatCode>
                <c:ptCount val="15"/>
                <c:pt idx="5">
                  <c:v>0.28999999999999998</c:v>
                </c:pt>
                <c:pt idx="6">
                  <c:v>0.28999999999999998</c:v>
                </c:pt>
                <c:pt idx="8">
                  <c:v>0.28999999999999998</c:v>
                </c:pt>
                <c:pt idx="11">
                  <c:v>0.28999999999999998</c:v>
                </c:pt>
                <c:pt idx="13">
                  <c:v>0.28999999999999998</c:v>
                </c:pt>
                <c:pt idx="14">
                  <c:v>0.28000000000000003</c:v>
                </c:pt>
              </c:numCache>
            </c:numRef>
          </c:val>
          <c:smooth val="0"/>
          <c:extLst>
            <c:ext xmlns:c16="http://schemas.microsoft.com/office/drawing/2014/chart" uri="{C3380CC4-5D6E-409C-BE32-E72D297353CC}">
              <c16:uniqueId val="{00000000-0C6C-4EDC-BCC0-6DF70BC011F4}"/>
            </c:ext>
          </c:extLst>
        </c:ser>
        <c:dLbls>
          <c:showLegendKey val="0"/>
          <c:showVal val="0"/>
          <c:showCatName val="0"/>
          <c:showSerName val="0"/>
          <c:showPercent val="0"/>
          <c:showBubbleSize val="0"/>
        </c:dLbls>
        <c:marker val="1"/>
        <c:smooth val="0"/>
        <c:axId val="-1504518432"/>
        <c:axId val="-1504546720"/>
      </c:lineChart>
      <c:catAx>
        <c:axId val="-1504518432"/>
        <c:scaling>
          <c:orientation val="minMax"/>
        </c:scaling>
        <c:delete val="0"/>
        <c:axPos val="b"/>
        <c:numFmt formatCode="General" sourceLinked="1"/>
        <c:majorTickMark val="out"/>
        <c:minorTickMark val="none"/>
        <c:tickLblPos val="nextTo"/>
        <c:crossAx val="-1504546720"/>
        <c:crosses val="autoZero"/>
        <c:auto val="1"/>
        <c:lblAlgn val="ctr"/>
        <c:lblOffset val="100"/>
        <c:noMultiLvlLbl val="0"/>
      </c:catAx>
      <c:valAx>
        <c:axId val="-1504546720"/>
        <c:scaling>
          <c:orientation val="minMax"/>
          <c:min val="0"/>
        </c:scaling>
        <c:delete val="0"/>
        <c:axPos val="l"/>
        <c:majorGridlines/>
        <c:numFmt formatCode="General" sourceLinked="1"/>
        <c:majorTickMark val="out"/>
        <c:minorTickMark val="none"/>
        <c:tickLblPos val="nextTo"/>
        <c:crossAx val="-1504518432"/>
        <c:crosses val="autoZero"/>
        <c:crossBetween val="between"/>
      </c:valAx>
    </c:plotArea>
    <c:legend>
      <c:legendPos val="r"/>
      <c:overlay val="0"/>
    </c:legend>
    <c:plotVisOnly val="1"/>
    <c:dispBlanksAs val="span"/>
    <c:showDLblsOverMax val="0"/>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09632522627791E-2"/>
          <c:y val="1.9064377269819438E-2"/>
          <c:w val="0.85753718285214353"/>
          <c:h val="0.62873432487605718"/>
        </c:manualLayout>
      </c:layout>
      <c:scatterChart>
        <c:scatterStyle val="lineMarker"/>
        <c:varyColors val="0"/>
        <c:ser>
          <c:idx val="0"/>
          <c:order val="0"/>
          <c:tx>
            <c:strRef>
              <c:f>DSD!$C$72</c:f>
              <c:strCache>
                <c:ptCount val="1"/>
                <c:pt idx="0">
                  <c:v>Speed (kph)</c:v>
                </c:pt>
              </c:strCache>
            </c:strRef>
          </c:tx>
          <c:spPr>
            <a:ln w="38100" cap="flat">
              <a:solidFill>
                <a:schemeClr val="tx2">
                  <a:lumMod val="60000"/>
                  <a:lumOff val="40000"/>
                </a:schemeClr>
              </a:solidFill>
              <a:miter lim="800000"/>
              <a:headEnd type="stealth" w="lg" len="lg"/>
            </a:ln>
            <a:effectLst/>
          </c:spPr>
          <c:marker>
            <c:symbol val="circle"/>
            <c:size val="5"/>
            <c:spPr>
              <a:noFill/>
              <a:ln w="9525">
                <a:noFill/>
              </a:ln>
              <a:effectLst/>
            </c:spPr>
          </c:marker>
          <c:xVal>
            <c:numRef>
              <c:f>DSD!$O$62:$O$66</c:f>
              <c:numCache>
                <c:formatCode>0.0</c:formatCode>
                <c:ptCount val="5"/>
                <c:pt idx="0">
                  <c:v>0</c:v>
                </c:pt>
                <c:pt idx="1">
                  <c:v>1.5907737271472526</c:v>
                </c:pt>
                <c:pt idx="2">
                  <c:v>3.1596898648495859</c:v>
                </c:pt>
                <c:pt idx="3">
                  <c:v>4.5907737271472531</c:v>
                </c:pt>
                <c:pt idx="4">
                  <c:v>#N/A</c:v>
                </c:pt>
              </c:numCache>
            </c:numRef>
          </c:xVal>
          <c:yVal>
            <c:numRef>
              <c:f>DSD!$N$62:$N$66</c:f>
              <c:numCache>
                <c:formatCode>0.0</c:formatCode>
                <c:ptCount val="5"/>
                <c:pt idx="0">
                  <c:v>0</c:v>
                </c:pt>
                <c:pt idx="1">
                  <c:v>19.656203075874039</c:v>
                </c:pt>
                <c:pt idx="2">
                  <c:v>19.656203075874039</c:v>
                </c:pt>
                <c:pt idx="3">
                  <c:v>37.339217659207819</c:v>
                </c:pt>
                <c:pt idx="4">
                  <c:v>#N/A</c:v>
                </c:pt>
              </c:numCache>
            </c:numRef>
          </c:yVal>
          <c:smooth val="0"/>
          <c:extLst>
            <c:ext xmlns:c16="http://schemas.microsoft.com/office/drawing/2014/chart" uri="{C3380CC4-5D6E-409C-BE32-E72D297353CC}">
              <c16:uniqueId val="{00000000-03D7-459C-9675-6F931A790D01}"/>
            </c:ext>
          </c:extLst>
        </c:ser>
        <c:ser>
          <c:idx val="1"/>
          <c:order val="1"/>
          <c:tx>
            <c:v>Observation Time</c:v>
          </c:tx>
          <c:spPr>
            <a:ln w="127000" cap="sq">
              <a:solidFill>
                <a:srgbClr val="20D028"/>
              </a:solidFill>
              <a:round/>
            </a:ln>
            <a:effectLst/>
          </c:spPr>
          <c:marker>
            <c:symbol val="circle"/>
            <c:size val="5"/>
            <c:spPr>
              <a:noFill/>
              <a:ln w="76200">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0-03D7-459C-9675-6F931A790D01}"/>
                </c:ext>
              </c:extLst>
            </c:dLbl>
            <c:dLbl>
              <c:idx val="1"/>
              <c:layout>
                <c:manualLayout>
                  <c:x val="-4.7875523638539884E-2"/>
                  <c:y val="-7.0175462831697344E-2"/>
                </c:manualLayout>
              </c:layout>
              <c:tx>
                <c:rich>
                  <a:bodyPr/>
                  <a:lstStyle/>
                  <a:p>
                    <a:r>
                      <a:rPr lang="en-US"/>
                      <a:t>Observation Time</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3D7-459C-9675-6F931A790D01}"/>
                </c:ext>
              </c:extLst>
            </c:dLbl>
            <c:dLbl>
              <c:idx val="2"/>
              <c:delete val="1"/>
              <c:extLst>
                <c:ext xmlns:c15="http://schemas.microsoft.com/office/drawing/2012/chart" uri="{CE6537A1-D6FC-4f65-9D91-7224C49458BB}"/>
                <c:ext xmlns:c16="http://schemas.microsoft.com/office/drawing/2014/chart" uri="{C3380CC4-5D6E-409C-BE32-E72D297353CC}">
                  <c16:uniqueId val="{00000012-03D7-459C-9675-6F931A790D01}"/>
                </c:ext>
              </c:extLst>
            </c:dLbl>
            <c:dLbl>
              <c:idx val="3"/>
              <c:delete val="1"/>
              <c:extLst>
                <c:ext xmlns:c15="http://schemas.microsoft.com/office/drawing/2012/chart" uri="{CE6537A1-D6FC-4f65-9D91-7224C49458BB}"/>
                <c:ext xmlns:c16="http://schemas.microsoft.com/office/drawing/2014/chart" uri="{C3380CC4-5D6E-409C-BE32-E72D297353CC}">
                  <c16:uniqueId val="{00000013-03D7-459C-9675-6F931A790D0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downArrowCallout">
                    <a:avLst/>
                  </a:prstGeom>
                  <a:noFill/>
                  <a:ln>
                    <a:noFill/>
                  </a:ln>
                </c15:spPr>
                <c15:showLeaderLines val="0"/>
              </c:ext>
            </c:extLst>
          </c:dLbls>
          <c:xVal>
            <c:numRef>
              <c:f>DSD!$O$63:$O$66</c:f>
              <c:numCache>
                <c:formatCode>0.0</c:formatCode>
                <c:ptCount val="4"/>
                <c:pt idx="0">
                  <c:v>1.5907737271472526</c:v>
                </c:pt>
                <c:pt idx="1">
                  <c:v>3.1596898648495859</c:v>
                </c:pt>
                <c:pt idx="2">
                  <c:v>4.5907737271472531</c:v>
                </c:pt>
                <c:pt idx="3">
                  <c:v>#N/A</c:v>
                </c:pt>
              </c:numCache>
            </c:numRef>
          </c:xVal>
          <c:yVal>
            <c:numRef>
              <c:f>DSD!$P$63:$P$66</c:f>
              <c:numCache>
                <c:formatCode>General</c:formatCode>
                <c:ptCount val="4"/>
                <c:pt idx="0">
                  <c:v>3</c:v>
                </c:pt>
                <c:pt idx="1">
                  <c:v>3</c:v>
                </c:pt>
                <c:pt idx="2">
                  <c:v>3</c:v>
                </c:pt>
                <c:pt idx="3">
                  <c:v>3</c:v>
                </c:pt>
              </c:numCache>
            </c:numRef>
          </c:yVal>
          <c:smooth val="0"/>
          <c:extLst>
            <c:ext xmlns:c16="http://schemas.microsoft.com/office/drawing/2014/chart" uri="{C3380CC4-5D6E-409C-BE32-E72D297353CC}">
              <c16:uniqueId val="{00000005-03D7-459C-9675-6F931A790D01}"/>
            </c:ext>
          </c:extLst>
        </c:ser>
        <c:ser>
          <c:idx val="4"/>
          <c:order val="2"/>
          <c:tx>
            <c:strRef>
              <c:f>DSD!$S$61</c:f>
              <c:strCache>
                <c:ptCount val="1"/>
                <c:pt idx="0">
                  <c:v>Braking</c:v>
                </c:pt>
              </c:strCache>
            </c:strRef>
          </c:tx>
          <c:spPr>
            <a:ln w="88900" cap="flat">
              <a:solidFill>
                <a:srgbClr val="FFFF00"/>
              </a:solidFill>
              <a:round/>
            </a:ln>
            <a:effectLst/>
          </c:spPr>
          <c:marker>
            <c:symbol val="circle"/>
            <c:size val="5"/>
            <c:spPr>
              <a:noFill/>
              <a:ln w="9525">
                <a:noFill/>
              </a:ln>
              <a:effectLst/>
            </c:spPr>
          </c:marker>
          <c:xVal>
            <c:numRef>
              <c:f>DSD!$O$62:$O$66</c:f>
              <c:numCache>
                <c:formatCode>0.0</c:formatCode>
                <c:ptCount val="5"/>
                <c:pt idx="0">
                  <c:v>0</c:v>
                </c:pt>
                <c:pt idx="1">
                  <c:v>1.5907737271472526</c:v>
                </c:pt>
                <c:pt idx="2">
                  <c:v>3.1596898648495859</c:v>
                </c:pt>
                <c:pt idx="3">
                  <c:v>4.5907737271472531</c:v>
                </c:pt>
                <c:pt idx="4">
                  <c:v>#N/A</c:v>
                </c:pt>
              </c:numCache>
            </c:numRef>
          </c:xVal>
          <c:yVal>
            <c:numRef>
              <c:f>DSD!$S$62:$S$66</c:f>
              <c:numCache>
                <c:formatCode>General</c:formatCode>
                <c:ptCount val="5"/>
                <c:pt idx="0">
                  <c:v>-5</c:v>
                </c:pt>
                <c:pt idx="1">
                  <c:v>-5</c:v>
                </c:pt>
                <c:pt idx="2">
                  <c:v>-5</c:v>
                </c:pt>
                <c:pt idx="3">
                  <c:v>-5</c:v>
                </c:pt>
              </c:numCache>
            </c:numRef>
          </c:yVal>
          <c:smooth val="0"/>
          <c:extLst>
            <c:ext xmlns:c16="http://schemas.microsoft.com/office/drawing/2014/chart" uri="{C3380CC4-5D6E-409C-BE32-E72D297353CC}">
              <c16:uniqueId val="{00000009-03D7-459C-9675-6F931A790D01}"/>
            </c:ext>
          </c:extLst>
        </c:ser>
        <c:ser>
          <c:idx val="2"/>
          <c:order val="3"/>
          <c:tx>
            <c:strRef>
              <c:f>DSD!$Q$61</c:f>
              <c:strCache>
                <c:ptCount val="1"/>
                <c:pt idx="0">
                  <c:v>Safety Factor</c:v>
                </c:pt>
              </c:strCache>
            </c:strRef>
          </c:tx>
          <c:spPr>
            <a:ln w="82550" cap="flat" cmpd="sng">
              <a:solidFill>
                <a:srgbClr val="FF0000"/>
              </a:solidFill>
              <a:prstDash val="sysDot"/>
              <a:miter lim="800000"/>
            </a:ln>
            <a:effectLst/>
          </c:spPr>
          <c:marker>
            <c:symbol val="circle"/>
            <c:size val="5"/>
            <c:spPr>
              <a:noFill/>
              <a:ln w="76200">
                <a:noFill/>
              </a:ln>
              <a:effectLst/>
            </c:spPr>
          </c:marker>
          <c:dPt>
            <c:idx val="1"/>
            <c:marker>
              <c:symbol val="circle"/>
              <c:size val="5"/>
              <c:spPr>
                <a:noFill/>
                <a:ln w="76200">
                  <a:noFill/>
                </a:ln>
                <a:effectLst/>
              </c:spPr>
            </c:marker>
            <c:bubble3D val="0"/>
            <c:spPr>
              <a:ln w="88900" cap="flat" cmpd="sng">
                <a:solidFill>
                  <a:srgbClr val="FF0000"/>
                </a:solidFill>
                <a:prstDash val="sysDot"/>
                <a:miter lim="800000"/>
              </a:ln>
              <a:effectLst/>
            </c:spPr>
            <c:extLst>
              <c:ext xmlns:c16="http://schemas.microsoft.com/office/drawing/2014/chart" uri="{C3380CC4-5D6E-409C-BE32-E72D297353CC}">
                <c16:uniqueId val="{00000008-03D7-459C-9675-6F931A790D01}"/>
              </c:ext>
            </c:extLst>
          </c:dPt>
          <c:dLbls>
            <c:dLbl>
              <c:idx val="0"/>
              <c:delete val="1"/>
              <c:extLst>
                <c:ext xmlns:c15="http://schemas.microsoft.com/office/drawing/2012/chart" uri="{CE6537A1-D6FC-4f65-9D91-7224C49458BB}"/>
                <c:ext xmlns:c16="http://schemas.microsoft.com/office/drawing/2014/chart" uri="{C3380CC4-5D6E-409C-BE32-E72D297353CC}">
                  <c16:uniqueId val="{0000000A-03D7-459C-9675-6F931A790D01}"/>
                </c:ext>
              </c:extLst>
            </c:dLbl>
            <c:dLbl>
              <c:idx val="1"/>
              <c:layout>
                <c:manualLayout>
                  <c:x val="-0.29922202274087373"/>
                  <c:y val="0.22368428777603522"/>
                </c:manualLayout>
              </c:layout>
              <c:tx>
                <c:rich>
                  <a:bodyPr/>
                  <a:lstStyle/>
                  <a:p>
                    <a:r>
                      <a:rPr lang="en-US"/>
                      <a:t>Safety Factor not part of Observation time. (Braking)</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3D7-459C-9675-6F931A790D01}"/>
                </c:ext>
              </c:extLst>
            </c:dLbl>
            <c:dLbl>
              <c:idx val="2"/>
              <c:layout>
                <c:manualLayout>
                  <c:x val="-0.18910831837223219"/>
                  <c:y val="0.21052638849509203"/>
                </c:manualLayout>
              </c:layout>
              <c:tx>
                <c:rich>
                  <a:bodyPr/>
                  <a:lstStyle/>
                  <a:p>
                    <a:r>
                      <a:rPr lang="en-US"/>
                      <a:t>After Tangent Section Not Braking</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3D7-459C-9675-6F931A790D01}"/>
                </c:ext>
              </c:extLst>
            </c:dLbl>
            <c:dLbl>
              <c:idx val="3"/>
              <c:layout>
                <c:manualLayout>
                  <c:x val="-0.13165769000598454"/>
                  <c:y val="0.22368428777603522"/>
                </c:manualLayout>
              </c:layout>
              <c:tx>
                <c:rich>
                  <a:bodyPr/>
                  <a:lstStyle/>
                  <a:p>
                    <a:r>
                      <a:rPr lang="en-US"/>
                      <a:t>Braking and Observation Prior to Tangent</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3D7-459C-9675-6F931A790D0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upArrowCallout">
                    <a:avLst/>
                  </a:prstGeom>
                  <a:noFill/>
                  <a:ln>
                    <a:noFill/>
                  </a:ln>
                </c15:spPr>
                <c15:showLeaderLines val="0"/>
              </c:ext>
            </c:extLst>
          </c:dLbls>
          <c:xVal>
            <c:numRef>
              <c:f>DSD!$O$62:$O$66</c:f>
              <c:numCache>
                <c:formatCode>0.0</c:formatCode>
                <c:ptCount val="5"/>
                <c:pt idx="0">
                  <c:v>0</c:v>
                </c:pt>
                <c:pt idx="1">
                  <c:v>1.5907737271472526</c:v>
                </c:pt>
                <c:pt idx="2">
                  <c:v>3.1596898648495859</c:v>
                </c:pt>
                <c:pt idx="3">
                  <c:v>4.5907737271472531</c:v>
                </c:pt>
                <c:pt idx="4">
                  <c:v>#N/A</c:v>
                </c:pt>
              </c:numCache>
            </c:numRef>
          </c:xVal>
          <c:yVal>
            <c:numRef>
              <c:f>DSD!$Q$62:$Q$66</c:f>
              <c:numCache>
                <c:formatCode>General</c:formatCode>
                <c:ptCount val="5"/>
                <c:pt idx="0">
                  <c:v>-5</c:v>
                </c:pt>
                <c:pt idx="1">
                  <c:v>-5</c:v>
                </c:pt>
                <c:pt idx="2" formatCode="0.0">
                  <c:v>-5</c:v>
                </c:pt>
                <c:pt idx="3" formatCode="0.0">
                  <c:v>-5</c:v>
                </c:pt>
              </c:numCache>
            </c:numRef>
          </c:yVal>
          <c:smooth val="0"/>
          <c:extLst>
            <c:ext xmlns:c16="http://schemas.microsoft.com/office/drawing/2014/chart" uri="{C3380CC4-5D6E-409C-BE32-E72D297353CC}">
              <c16:uniqueId val="{00000006-03D7-459C-9675-6F931A790D01}"/>
            </c:ext>
          </c:extLst>
        </c:ser>
        <c:ser>
          <c:idx val="3"/>
          <c:order val="4"/>
          <c:tx>
            <c:strRef>
              <c:f>DSD!$R$61</c:f>
              <c:strCache>
                <c:ptCount val="1"/>
                <c:pt idx="0">
                  <c:v>After Tangent</c:v>
                </c:pt>
              </c:strCache>
            </c:strRef>
          </c:tx>
          <c:spPr>
            <a:ln w="88900" cap="flat">
              <a:solidFill>
                <a:srgbClr val="00B050"/>
              </a:solidFill>
              <a:round/>
            </a:ln>
            <a:effectLst/>
          </c:spPr>
          <c:marker>
            <c:symbol val="circle"/>
            <c:size val="5"/>
            <c:spPr>
              <a:noFill/>
              <a:ln w="9525">
                <a:noFill/>
              </a:ln>
              <a:effectLst/>
            </c:spPr>
          </c:marker>
          <c:xVal>
            <c:numRef>
              <c:f>DSD!$O$62:$O$65</c:f>
              <c:numCache>
                <c:formatCode>0.0</c:formatCode>
                <c:ptCount val="4"/>
                <c:pt idx="0">
                  <c:v>0</c:v>
                </c:pt>
                <c:pt idx="1">
                  <c:v>1.5907737271472526</c:v>
                </c:pt>
                <c:pt idx="2">
                  <c:v>3.1596898648495859</c:v>
                </c:pt>
                <c:pt idx="3">
                  <c:v>4.5907737271472531</c:v>
                </c:pt>
              </c:numCache>
            </c:numRef>
          </c:xVal>
          <c:yVal>
            <c:numRef>
              <c:f>DSD!$R$62:$R$66</c:f>
              <c:numCache>
                <c:formatCode>General</c:formatCode>
                <c:ptCount val="5"/>
                <c:pt idx="1">
                  <c:v>-5</c:v>
                </c:pt>
                <c:pt idx="2">
                  <c:v>-5</c:v>
                </c:pt>
              </c:numCache>
            </c:numRef>
          </c:yVal>
          <c:smooth val="0"/>
          <c:extLst>
            <c:ext xmlns:c16="http://schemas.microsoft.com/office/drawing/2014/chart" uri="{C3380CC4-5D6E-409C-BE32-E72D297353CC}">
              <c16:uniqueId val="{00000007-03D7-459C-9675-6F931A790D01}"/>
            </c:ext>
          </c:extLst>
        </c:ser>
        <c:ser>
          <c:idx val="5"/>
          <c:order val="5"/>
          <c:spPr>
            <a:ln w="88900" cap="flat">
              <a:solidFill>
                <a:schemeClr val="tx2">
                  <a:lumMod val="40000"/>
                  <a:lumOff val="60000"/>
                </a:schemeClr>
              </a:solidFill>
              <a:round/>
            </a:ln>
            <a:effectLst/>
          </c:spPr>
          <c:marker>
            <c:symbol val="circle"/>
            <c:size val="5"/>
            <c:spPr>
              <a:noFill/>
              <a:ln w="9525">
                <a:noFill/>
              </a:ln>
              <a:effectLst/>
            </c:spPr>
          </c:marker>
          <c:xVal>
            <c:numRef>
              <c:f>DSD!$O$62:$O$66</c:f>
              <c:numCache>
                <c:formatCode>0.0</c:formatCode>
                <c:ptCount val="5"/>
                <c:pt idx="0">
                  <c:v>0</c:v>
                </c:pt>
                <c:pt idx="1">
                  <c:v>1.5907737271472526</c:v>
                </c:pt>
                <c:pt idx="2">
                  <c:v>3.1596898648495859</c:v>
                </c:pt>
                <c:pt idx="3">
                  <c:v>4.5907737271472531</c:v>
                </c:pt>
                <c:pt idx="4">
                  <c:v>#N/A</c:v>
                </c:pt>
              </c:numCache>
            </c:numRef>
          </c:xVal>
          <c:yVal>
            <c:numRef>
              <c:f>DSD!$T$62:$T$66</c:f>
              <c:numCache>
                <c:formatCode>General</c:formatCode>
                <c:ptCount val="5"/>
                <c:pt idx="3">
                  <c:v>-5</c:v>
                </c:pt>
                <c:pt idx="4">
                  <c:v>-5</c:v>
                </c:pt>
              </c:numCache>
            </c:numRef>
          </c:yVal>
          <c:smooth val="0"/>
          <c:extLst>
            <c:ext xmlns:c16="http://schemas.microsoft.com/office/drawing/2014/chart" uri="{C3380CC4-5D6E-409C-BE32-E72D297353CC}">
              <c16:uniqueId val="{0000000D-03D7-459C-9675-6F931A790D01}"/>
            </c:ext>
          </c:extLst>
        </c:ser>
        <c:dLbls>
          <c:showLegendKey val="0"/>
          <c:showVal val="0"/>
          <c:showCatName val="0"/>
          <c:showSerName val="0"/>
          <c:showPercent val="0"/>
          <c:showBubbleSize val="0"/>
        </c:dLbls>
        <c:axId val="579346192"/>
        <c:axId val="579346520"/>
      </c:scatterChart>
      <c:valAx>
        <c:axId val="579346192"/>
        <c:scaling>
          <c:orientation val="minMax"/>
        </c:scaling>
        <c:delete val="0"/>
        <c:axPos val="b"/>
        <c:minorGridlines>
          <c:spPr>
            <a:ln w="9525" cap="flat" cmpd="sng" algn="ctr">
              <a:solidFill>
                <a:schemeClr val="tx1">
                  <a:lumMod val="5000"/>
                  <a:lumOff val="95000"/>
                </a:schemeClr>
              </a:solidFill>
              <a:round/>
            </a:ln>
            <a:effectLst/>
          </c:spPr>
        </c:minorGridlines>
        <c:numFmt formatCode="0.0" sourceLinked="1"/>
        <c:majorTickMark val="cross"/>
        <c:minorTickMark val="in"/>
        <c:tickLblPos val="low"/>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900" b="1" i="0" u="none" strike="noStrike" kern="1200" baseline="0">
                <a:solidFill>
                  <a:schemeClr val="tx1">
                    <a:lumMod val="65000"/>
                    <a:lumOff val="35000"/>
                  </a:schemeClr>
                </a:solidFill>
                <a:latin typeface="+mn-lt"/>
                <a:ea typeface="+mn-ea"/>
                <a:cs typeface="+mn-cs"/>
              </a:defRPr>
            </a:pPr>
            <a:endParaRPr lang="en-US"/>
          </a:p>
        </c:txPr>
        <c:crossAx val="579346520"/>
        <c:crosses val="autoZero"/>
        <c:crossBetween val="midCat"/>
        <c:minorUnit val="1"/>
      </c:valAx>
      <c:valAx>
        <c:axId val="5793465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7934619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38100</xdr:colOff>
      <xdr:row>35</xdr:row>
      <xdr:rowOff>133350</xdr:rowOff>
    </xdr:from>
    <xdr:to>
      <xdr:col>16</xdr:col>
      <xdr:colOff>342900</xdr:colOff>
      <xdr:row>50</xdr:row>
      <xdr:rowOff>19050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20</xdr:row>
      <xdr:rowOff>133350</xdr:rowOff>
    </xdr:from>
    <xdr:to>
      <xdr:col>16</xdr:col>
      <xdr:colOff>314325</xdr:colOff>
      <xdr:row>33</xdr:row>
      <xdr:rowOff>104775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885825</xdr:colOff>
      <xdr:row>20</xdr:row>
      <xdr:rowOff>171450</xdr:rowOff>
    </xdr:from>
    <xdr:to>
      <xdr:col>25</xdr:col>
      <xdr:colOff>523875</xdr:colOff>
      <xdr:row>33</xdr:row>
      <xdr:rowOff>142875</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590550</xdr:colOff>
      <xdr:row>63</xdr:row>
      <xdr:rowOff>123825</xdr:rowOff>
    </xdr:from>
    <xdr:to>
      <xdr:col>15</xdr:col>
      <xdr:colOff>57150</xdr:colOff>
      <xdr:row>84</xdr:row>
      <xdr:rowOff>28575</xdr:rowOff>
    </xdr:to>
    <xdr:pic>
      <xdr:nvPicPr>
        <xdr:cNvPr id="1026"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4" cstate="print"/>
        <a:srcRect l="15598" t="34657" r="5977" b="2748"/>
        <a:stretch>
          <a:fillRect/>
        </a:stretch>
      </xdr:blipFill>
      <xdr:spPr bwMode="auto">
        <a:xfrm>
          <a:off x="29670375" y="2686050"/>
          <a:ext cx="5124450" cy="39052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81864</xdr:colOff>
      <xdr:row>0</xdr:row>
      <xdr:rowOff>115956</xdr:rowOff>
    </xdr:from>
    <xdr:to>
      <xdr:col>13</xdr:col>
      <xdr:colOff>98148</xdr:colOff>
      <xdr:row>11</xdr:row>
      <xdr:rowOff>140805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381000</xdr:colOff>
      <xdr:row>18</xdr:row>
      <xdr:rowOff>133350</xdr:rowOff>
    </xdr:from>
    <xdr:ext cx="65" cy="172227"/>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582025" y="3733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NZ" sz="1100"/>
        </a:p>
      </xdr:txBody>
    </xdr:sp>
    <xdr:clientData/>
  </xdr:oneCellAnchor>
  <xdr:twoCellAnchor editAs="oneCell">
    <xdr:from>
      <xdr:col>12</xdr:col>
      <xdr:colOff>265741</xdr:colOff>
      <xdr:row>1</xdr:row>
      <xdr:rowOff>37685</xdr:rowOff>
    </xdr:from>
    <xdr:to>
      <xdr:col>23</xdr:col>
      <xdr:colOff>460396</xdr:colOff>
      <xdr:row>21</xdr:row>
      <xdr:rowOff>833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l="4762" t="4912" r="5169" b="3106"/>
        <a:stretch/>
      </xdr:blipFill>
      <xdr:spPr bwMode="auto">
        <a:xfrm>
          <a:off x="11215350" y="377272"/>
          <a:ext cx="8220503" cy="599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1151281</xdr:colOff>
      <xdr:row>2</xdr:row>
      <xdr:rowOff>149087</xdr:rowOff>
    </xdr:from>
    <xdr:to>
      <xdr:col>6</xdr:col>
      <xdr:colOff>115955</xdr:colOff>
      <xdr:row>5</xdr:row>
      <xdr:rowOff>762000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rot="16200000">
          <a:off x="5396118" y="1171989"/>
          <a:ext cx="1192695" cy="256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lang="en-NZ" sz="1400" b="1"/>
            <a:t>Speed</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0.34828</cdr:x>
      <cdr:y>0.71259</cdr:y>
    </cdr:from>
    <cdr:to>
      <cdr:x>0.70701</cdr:x>
      <cdr:y>0.76994</cdr:y>
    </cdr:to>
    <cdr:sp macro="" textlink="">
      <cdr:nvSpPr>
        <cdr:cNvPr id="2" name="TextBox 1"/>
        <cdr:cNvSpPr txBox="1"/>
      </cdr:nvSpPr>
      <cdr:spPr>
        <a:xfrm xmlns:a="http://schemas.openxmlformats.org/drawingml/2006/main">
          <a:off x="1849508" y="2876081"/>
          <a:ext cx="1905000" cy="231500"/>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en-NZ" sz="1400" b="1"/>
            <a:t>Time in Seconds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mes.hughes@nzta.govt.nz"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3"/>
  <sheetViews>
    <sheetView tabSelected="1" zoomScale="115" zoomScaleNormal="115" workbookViewId="0">
      <selection activeCell="B6" sqref="B6"/>
    </sheetView>
  </sheetViews>
  <sheetFormatPr defaultRowHeight="15" x14ac:dyDescent="0.25"/>
  <cols>
    <col min="1" max="1" width="26.5703125" customWidth="1"/>
    <col min="2" max="2" width="12.7109375" customWidth="1"/>
    <col min="3" max="3" width="14.140625" customWidth="1"/>
    <col min="4" max="4" width="12.7109375" customWidth="1"/>
    <col min="5" max="5" width="38" customWidth="1"/>
    <col min="6" max="6" width="18.5703125" customWidth="1"/>
    <col min="7" max="7" width="14.28515625" customWidth="1"/>
    <col min="8" max="8" width="14" customWidth="1"/>
    <col min="9" max="9" width="11.85546875" customWidth="1"/>
    <col min="13" max="13" width="17.85546875" customWidth="1"/>
    <col min="15" max="15" width="18.5703125" customWidth="1"/>
    <col min="17" max="17" width="18.42578125" customWidth="1"/>
    <col min="19" max="19" width="38.85546875" customWidth="1"/>
  </cols>
  <sheetData>
    <row r="1" spans="1:22" ht="15.75" thickBot="1" x14ac:dyDescent="0.3"/>
    <row r="2" spans="1:22" ht="15.75" thickBot="1" x14ac:dyDescent="0.3">
      <c r="D2" s="16"/>
      <c r="E2" t="s">
        <v>0</v>
      </c>
      <c r="G2" s="64" t="s">
        <v>1</v>
      </c>
      <c r="H2" s="64" t="s">
        <v>2</v>
      </c>
      <c r="L2" s="159" t="s">
        <v>3</v>
      </c>
      <c r="M2" s="160"/>
      <c r="N2" s="160"/>
      <c r="O2" s="161"/>
      <c r="P2" s="162" t="s">
        <v>4</v>
      </c>
      <c r="Q2" s="163"/>
    </row>
    <row r="3" spans="1:22" ht="15.75" customHeight="1" thickBot="1" x14ac:dyDescent="0.4">
      <c r="D3" s="17"/>
      <c r="E3" t="s">
        <v>5</v>
      </c>
      <c r="F3" t="s">
        <v>6</v>
      </c>
      <c r="G3" s="62">
        <f>G4*3.6</f>
        <v>4.32</v>
      </c>
      <c r="H3" s="151">
        <v>25.6</v>
      </c>
      <c r="K3" s="2"/>
      <c r="L3" s="156" t="s">
        <v>7</v>
      </c>
      <c r="M3" s="157"/>
      <c r="N3" s="156" t="s">
        <v>8</v>
      </c>
      <c r="O3" s="158"/>
      <c r="P3" s="156" t="s">
        <v>7</v>
      </c>
      <c r="Q3" s="157"/>
      <c r="T3" s="18" t="s">
        <v>9</v>
      </c>
      <c r="U3" s="51"/>
      <c r="V3" s="51"/>
    </row>
    <row r="4" spans="1:22" ht="15.75" thickBot="1" x14ac:dyDescent="0.3">
      <c r="A4" t="s">
        <v>10</v>
      </c>
      <c r="B4" t="s">
        <v>11</v>
      </c>
      <c r="F4" t="s">
        <v>12</v>
      </c>
      <c r="G4" s="152">
        <v>1.2</v>
      </c>
      <c r="H4" s="63">
        <f>H3/3.6</f>
        <v>7.1111111111111116</v>
      </c>
      <c r="K4" s="23" t="s">
        <v>13</v>
      </c>
      <c r="L4" s="21" t="s">
        <v>14</v>
      </c>
      <c r="M4" s="28" t="s">
        <v>15</v>
      </c>
      <c r="N4" s="21" t="s">
        <v>14</v>
      </c>
      <c r="O4" s="29" t="s">
        <v>15</v>
      </c>
      <c r="P4" s="21" t="s">
        <v>14</v>
      </c>
      <c r="Q4" s="28" t="s">
        <v>15</v>
      </c>
      <c r="S4" s="2" t="s">
        <v>16</v>
      </c>
      <c r="T4" t="s">
        <v>17</v>
      </c>
    </row>
    <row r="5" spans="1:22" x14ac:dyDescent="0.25">
      <c r="K5" s="24"/>
      <c r="L5" s="26"/>
      <c r="M5" s="27"/>
      <c r="N5" s="26"/>
      <c r="O5" s="30"/>
      <c r="P5" s="33"/>
      <c r="Q5" s="34"/>
      <c r="S5" s="2" t="s">
        <v>16</v>
      </c>
      <c r="T5" t="s">
        <v>18</v>
      </c>
    </row>
    <row r="6" spans="1:22" ht="14.25" customHeight="1" x14ac:dyDescent="0.25">
      <c r="A6" t="s">
        <v>19</v>
      </c>
      <c r="B6" s="148">
        <v>3</v>
      </c>
      <c r="E6" s="1" t="s">
        <v>20</v>
      </c>
      <c r="F6" s="61">
        <f>(2*(F12/F14))+B8</f>
        <v>10.948818897637794</v>
      </c>
      <c r="G6" s="65">
        <f>G4*F6</f>
        <v>13.138582677165353</v>
      </c>
      <c r="H6" s="65">
        <f>H4*F6</f>
        <v>77.858267716535437</v>
      </c>
      <c r="K6" s="24">
        <v>0</v>
      </c>
      <c r="L6" s="19"/>
      <c r="M6" s="20">
        <f>-0.023*(K6/10)+0.612</f>
        <v>0.61199999999999999</v>
      </c>
      <c r="N6" s="19"/>
      <c r="O6" s="31">
        <f>-0.0063*(K6/10)+0.2984</f>
        <v>0.2984</v>
      </c>
      <c r="P6" s="35"/>
      <c r="Q6" s="37">
        <f>-0.0014*(K6/10)+0.3005</f>
        <v>0.30049999999999999</v>
      </c>
      <c r="S6" s="2" t="s">
        <v>21</v>
      </c>
      <c r="T6" t="s">
        <v>22</v>
      </c>
    </row>
    <row r="7" spans="1:22" ht="15" customHeight="1" x14ac:dyDescent="0.25">
      <c r="A7" t="s">
        <v>23</v>
      </c>
      <c r="B7" s="148">
        <v>50</v>
      </c>
      <c r="E7" s="1" t="s">
        <v>24</v>
      </c>
      <c r="F7" s="12">
        <f>B7*0.85</f>
        <v>42.5</v>
      </c>
      <c r="K7" s="24">
        <v>10</v>
      </c>
      <c r="L7" s="19"/>
      <c r="M7" s="20">
        <f>-0.023*(K7/10)+0.612</f>
        <v>0.58899999999999997</v>
      </c>
      <c r="N7" s="19"/>
      <c r="O7" s="31">
        <f t="shared" ref="O7:O20" si="0">-0.0063*(K7/10)+0.2984</f>
        <v>0.29210000000000003</v>
      </c>
      <c r="P7" s="35"/>
      <c r="Q7" s="37">
        <f t="shared" ref="Q7:Q20" si="1">-0.0014*(K7/10)+0.3005</f>
        <v>0.29909999999999998</v>
      </c>
      <c r="S7" s="2" t="s">
        <v>25</v>
      </c>
      <c r="T7" t="s">
        <v>26</v>
      </c>
    </row>
    <row r="8" spans="1:22" x14ac:dyDescent="0.25">
      <c r="A8" t="s">
        <v>27</v>
      </c>
      <c r="B8" s="148">
        <v>1.5</v>
      </c>
      <c r="C8" s="52" t="s">
        <v>28</v>
      </c>
      <c r="D8" s="52"/>
      <c r="E8" s="1" t="s">
        <v>29</v>
      </c>
      <c r="F8" s="13">
        <f>G8/B20</f>
        <v>0</v>
      </c>
      <c r="G8" s="153">
        <v>0</v>
      </c>
      <c r="I8" s="2" t="s">
        <v>30</v>
      </c>
      <c r="K8" s="24">
        <v>20</v>
      </c>
      <c r="L8" s="19"/>
      <c r="M8" s="20">
        <f>-0.023*(K8/10)+0.612</f>
        <v>0.56599999999999995</v>
      </c>
      <c r="N8" s="19"/>
      <c r="O8" s="31">
        <f t="shared" si="0"/>
        <v>0.2858</v>
      </c>
      <c r="P8" s="35"/>
      <c r="Q8" s="37">
        <f t="shared" si="1"/>
        <v>0.29769999999999996</v>
      </c>
    </row>
    <row r="9" spans="1:22" x14ac:dyDescent="0.25">
      <c r="A9" t="s">
        <v>31</v>
      </c>
      <c r="B9" s="148">
        <v>0.15</v>
      </c>
      <c r="E9" s="1" t="s">
        <v>32</v>
      </c>
      <c r="F9" s="13">
        <f>G9/B21</f>
        <v>0</v>
      </c>
      <c r="G9" s="153">
        <v>0</v>
      </c>
      <c r="I9" s="2" t="s">
        <v>33</v>
      </c>
      <c r="K9" s="24">
        <v>30</v>
      </c>
      <c r="L9" s="19"/>
      <c r="M9" s="20">
        <f>-0.023*(K9/10)+0.612</f>
        <v>0.54299999999999993</v>
      </c>
      <c r="N9" s="19"/>
      <c r="O9" s="31">
        <f t="shared" si="0"/>
        <v>0.27949999999999997</v>
      </c>
      <c r="P9" s="35"/>
      <c r="Q9" s="37">
        <f t="shared" si="1"/>
        <v>0.29630000000000001</v>
      </c>
    </row>
    <row r="10" spans="1:22" ht="16.5" customHeight="1" x14ac:dyDescent="0.25">
      <c r="A10" t="s">
        <v>34</v>
      </c>
      <c r="B10" s="149">
        <v>0</v>
      </c>
      <c r="C10" s="5"/>
      <c r="D10" s="5"/>
      <c r="E10" s="1" t="s">
        <v>35</v>
      </c>
      <c r="F10" s="14">
        <f>SUM((B7*(B6)/3.6))</f>
        <v>41.666666666666664</v>
      </c>
      <c r="K10" s="24">
        <v>40</v>
      </c>
      <c r="L10" s="19">
        <v>0.52</v>
      </c>
      <c r="M10" s="20">
        <f>-0.023*(K10/10)+0.612</f>
        <v>0.52</v>
      </c>
      <c r="N10" s="19">
        <v>0.27</v>
      </c>
      <c r="O10" s="31">
        <f t="shared" si="0"/>
        <v>0.2732</v>
      </c>
      <c r="P10" s="35"/>
      <c r="Q10" s="37">
        <f t="shared" si="1"/>
        <v>0.2949</v>
      </c>
    </row>
    <row r="11" spans="1:22" x14ac:dyDescent="0.25">
      <c r="A11" t="s">
        <v>36</v>
      </c>
      <c r="B11" s="150">
        <v>0</v>
      </c>
      <c r="E11" s="1" t="s">
        <v>37</v>
      </c>
      <c r="F11" s="14">
        <f>SUM((B7*(B8)/3.6))</f>
        <v>20.833333333333332</v>
      </c>
      <c r="K11" s="24">
        <v>50</v>
      </c>
      <c r="L11" s="19">
        <v>0.5</v>
      </c>
      <c r="M11" s="20">
        <f t="shared" ref="M11:M20" si="2">-0.023*(K11/10)+0.612</f>
        <v>0.497</v>
      </c>
      <c r="N11" s="19">
        <v>0.27</v>
      </c>
      <c r="O11" s="31">
        <f t="shared" si="0"/>
        <v>0.26690000000000003</v>
      </c>
      <c r="P11" s="35">
        <v>0.28999999999999998</v>
      </c>
      <c r="Q11" s="37">
        <f t="shared" si="1"/>
        <v>0.29349999999999998</v>
      </c>
    </row>
    <row r="12" spans="1:22" x14ac:dyDescent="0.25">
      <c r="E12" s="1" t="s">
        <v>38</v>
      </c>
      <c r="F12" s="14">
        <f>((B7^2)/(254*(B9+B10)))</f>
        <v>65.616797900262469</v>
      </c>
      <c r="K12" s="24">
        <v>60</v>
      </c>
      <c r="L12" s="19">
        <v>0.47</v>
      </c>
      <c r="M12" s="20">
        <f t="shared" si="2"/>
        <v>0.47399999999999998</v>
      </c>
      <c r="N12" s="19">
        <v>0.27</v>
      </c>
      <c r="O12" s="31">
        <f t="shared" si="0"/>
        <v>0.2606</v>
      </c>
      <c r="P12" s="35">
        <v>0.28999999999999998</v>
      </c>
      <c r="Q12" s="37">
        <f t="shared" si="1"/>
        <v>0.29209999999999997</v>
      </c>
    </row>
    <row r="13" spans="1:22" x14ac:dyDescent="0.25">
      <c r="E13" s="1" t="s">
        <v>39</v>
      </c>
      <c r="F13" s="59">
        <f>(((B7)^2)/(254*(B9+B10)))-(((B11)^2)/(254*(B9+B10)))</f>
        <v>65.616797900262469</v>
      </c>
      <c r="G13" s="2"/>
      <c r="K13" s="24"/>
      <c r="L13" s="19"/>
      <c r="M13" s="20"/>
      <c r="N13" s="19"/>
      <c r="O13" s="31"/>
      <c r="P13" s="35"/>
      <c r="Q13" s="37"/>
    </row>
    <row r="14" spans="1:22" x14ac:dyDescent="0.25">
      <c r="C14" s="4"/>
      <c r="D14" s="4"/>
      <c r="E14" s="1" t="s">
        <v>40</v>
      </c>
      <c r="F14" s="8">
        <f>B7/3.6</f>
        <v>13.888888888888889</v>
      </c>
      <c r="K14" s="24">
        <v>70</v>
      </c>
      <c r="L14" s="19">
        <v>0.45</v>
      </c>
      <c r="M14" s="20">
        <f t="shared" si="2"/>
        <v>0.45099999999999996</v>
      </c>
      <c r="N14" s="19">
        <v>0.26</v>
      </c>
      <c r="O14" s="31">
        <f t="shared" si="0"/>
        <v>0.25429999999999997</v>
      </c>
      <c r="P14" s="35">
        <v>0.28999999999999998</v>
      </c>
      <c r="Q14" s="37">
        <f t="shared" si="1"/>
        <v>0.29070000000000001</v>
      </c>
    </row>
    <row r="15" spans="1:22" x14ac:dyDescent="0.25">
      <c r="C15" s="4"/>
      <c r="D15" s="4"/>
      <c r="E15" s="1" t="s">
        <v>41</v>
      </c>
      <c r="F15" s="60">
        <f>F14-F16</f>
        <v>13.888888888888889</v>
      </c>
      <c r="H15" s="55"/>
      <c r="K15" s="24"/>
      <c r="L15" s="19"/>
      <c r="M15" s="20"/>
      <c r="N15" s="19"/>
      <c r="O15" s="31"/>
      <c r="P15" s="35"/>
      <c r="Q15" s="37"/>
    </row>
    <row r="16" spans="1:22" x14ac:dyDescent="0.25">
      <c r="C16" s="4"/>
      <c r="D16" s="4"/>
      <c r="E16" s="1" t="s">
        <v>42</v>
      </c>
      <c r="F16" s="57">
        <f>B11/3.6</f>
        <v>0</v>
      </c>
      <c r="G16" s="56"/>
      <c r="H16" s="55"/>
      <c r="K16" s="24"/>
      <c r="L16" s="19"/>
      <c r="M16" s="20"/>
      <c r="N16" s="19"/>
      <c r="O16" s="31"/>
      <c r="P16" s="35"/>
      <c r="Q16" s="37"/>
    </row>
    <row r="17" spans="1:17" x14ac:dyDescent="0.25">
      <c r="E17" s="1" t="s">
        <v>43</v>
      </c>
      <c r="F17" s="9">
        <f>(2*(F12/F14))</f>
        <v>9.4488188976377945</v>
      </c>
      <c r="G17">
        <f>(2*(((B7^2)/(254*(B9+B10)))/(B7/3.6)))</f>
        <v>9.4488188976377945</v>
      </c>
      <c r="H17" s="11"/>
      <c r="K17" s="24">
        <v>80</v>
      </c>
      <c r="L17" s="19">
        <v>0.43</v>
      </c>
      <c r="M17" s="20">
        <f t="shared" si="2"/>
        <v>0.42799999999999999</v>
      </c>
      <c r="N17" s="19">
        <v>0.25</v>
      </c>
      <c r="O17" s="31">
        <f t="shared" si="0"/>
        <v>0.248</v>
      </c>
      <c r="P17" s="35">
        <v>0.28999999999999998</v>
      </c>
      <c r="Q17" s="37">
        <f t="shared" si="1"/>
        <v>0.2893</v>
      </c>
    </row>
    <row r="18" spans="1:17" x14ac:dyDescent="0.25">
      <c r="E18" s="1" t="s">
        <v>44</v>
      </c>
      <c r="F18" s="58">
        <f>F19*9.81</f>
        <v>1.4699074074074074</v>
      </c>
      <c r="H18" s="11"/>
      <c r="K18" s="24"/>
      <c r="L18" s="19"/>
      <c r="M18" s="20"/>
      <c r="N18" s="19"/>
      <c r="O18" s="31"/>
      <c r="P18" s="35"/>
      <c r="Q18" s="37"/>
    </row>
    <row r="19" spans="1:17" x14ac:dyDescent="0.25">
      <c r="E19" s="1" t="s">
        <v>45</v>
      </c>
      <c r="F19" s="10">
        <f>H20/(F17)</f>
        <v>0.14983765620870615</v>
      </c>
      <c r="H19" s="6" t="s">
        <v>46</v>
      </c>
      <c r="K19" s="24">
        <v>90</v>
      </c>
      <c r="L19" s="19"/>
      <c r="M19" s="20">
        <f t="shared" si="2"/>
        <v>0.40500000000000003</v>
      </c>
      <c r="N19" s="19">
        <v>0.24</v>
      </c>
      <c r="O19" s="31">
        <f t="shared" si="0"/>
        <v>0.2417</v>
      </c>
      <c r="P19" s="35">
        <v>0.28999999999999998</v>
      </c>
      <c r="Q19" s="37">
        <f t="shared" si="1"/>
        <v>0.28789999999999999</v>
      </c>
    </row>
    <row r="20" spans="1:17" ht="32.25" thickBot="1" x14ac:dyDescent="0.55000000000000004">
      <c r="A20" s="3" t="s">
        <v>47</v>
      </c>
      <c r="B20" s="15">
        <f>SUM((B7*(B6+B8)/3.6)+((B7^2)/(254*(B9+B10))))</f>
        <v>128.11679790026247</v>
      </c>
      <c r="H20" s="7">
        <f>F14/9.81</f>
        <v>1.4157888775625778</v>
      </c>
      <c r="I20" s="2"/>
      <c r="K20" s="25">
        <v>100</v>
      </c>
      <c r="L20" s="21"/>
      <c r="M20" s="22">
        <f t="shared" si="2"/>
        <v>0.38200000000000001</v>
      </c>
      <c r="N20" s="21"/>
      <c r="O20" s="32">
        <f t="shared" si="0"/>
        <v>0.2354</v>
      </c>
      <c r="P20" s="36">
        <v>0.28000000000000003</v>
      </c>
      <c r="Q20" s="38">
        <f t="shared" si="1"/>
        <v>0.28649999999999998</v>
      </c>
    </row>
    <row r="21" spans="1:17" ht="31.5" x14ac:dyDescent="0.5">
      <c r="A21" s="3" t="s">
        <v>48</v>
      </c>
      <c r="B21" s="111">
        <f>SUM((B7*B8)/3.6)+((B7^2)/(254.188368*(B9+B10)))</f>
        <v>86.401505464115758</v>
      </c>
      <c r="D21" s="4"/>
    </row>
    <row r="22" spans="1:17" ht="31.5" x14ac:dyDescent="0.5">
      <c r="A22" s="3" t="s">
        <v>10</v>
      </c>
      <c r="B22" s="15">
        <f>SUM((B7*(B8)/3.6)+((B7^2)/(254*(B9+B10))))</f>
        <v>86.450131233595798</v>
      </c>
    </row>
    <row r="23" spans="1:17" ht="31.5" x14ac:dyDescent="0.5">
      <c r="A23" s="3" t="s">
        <v>49</v>
      </c>
      <c r="B23" s="53">
        <f>SUM((B7*B8)/3.6)+((B7^2)/(254*(B9+B10)))-(SUM((B11*B8)/3.6)+((B11^2)/(254*(B9+B10))))</f>
        <v>86.450131233595798</v>
      </c>
    </row>
    <row r="24" spans="1:17" ht="31.5" x14ac:dyDescent="0.5">
      <c r="A24" s="54" t="str">
        <f>CONCATENATE("(Target Speed of ",B11,")")</f>
        <v>(Target Speed of 0)</v>
      </c>
      <c r="B24" s="66"/>
    </row>
    <row r="26" spans="1:17" ht="16.5" customHeight="1" x14ac:dyDescent="0.25"/>
    <row r="27" spans="1:17" ht="15" customHeight="1" x14ac:dyDescent="0.25"/>
    <row r="35" spans="10:10" ht="18.75" x14ac:dyDescent="0.3">
      <c r="J35" s="18" t="s">
        <v>50</v>
      </c>
    </row>
    <row r="52" spans="10:20" ht="18.75" x14ac:dyDescent="0.3">
      <c r="J52" s="18" t="s">
        <v>51</v>
      </c>
    </row>
    <row r="55" spans="10:20" ht="18.75" thickBot="1" x14ac:dyDescent="0.3">
      <c r="J55" s="49" t="s">
        <v>52</v>
      </c>
    </row>
    <row r="56" spans="10:20" x14ac:dyDescent="0.25">
      <c r="J56" s="154" t="s">
        <v>53</v>
      </c>
      <c r="K56" s="164" t="s">
        <v>54</v>
      </c>
      <c r="L56" s="168"/>
      <c r="M56" s="165"/>
      <c r="N56" s="164" t="s">
        <v>55</v>
      </c>
      <c r="O56" s="168"/>
      <c r="P56" s="165"/>
      <c r="Q56" s="164" t="s">
        <v>56</v>
      </c>
      <c r="R56" s="165"/>
      <c r="S56" s="164" t="s">
        <v>57</v>
      </c>
      <c r="T56" s="165"/>
    </row>
    <row r="57" spans="10:20" ht="15.75" thickBot="1" x14ac:dyDescent="0.3">
      <c r="J57" s="155"/>
      <c r="K57" s="166" t="s">
        <v>58</v>
      </c>
      <c r="L57" s="169"/>
      <c r="M57" s="167"/>
      <c r="N57" s="166" t="s">
        <v>59</v>
      </c>
      <c r="O57" s="169"/>
      <c r="P57" s="167"/>
      <c r="Q57" s="166" t="s">
        <v>60</v>
      </c>
      <c r="R57" s="167"/>
      <c r="S57" s="166" t="s">
        <v>61</v>
      </c>
      <c r="T57" s="167"/>
    </row>
    <row r="58" spans="10:20" ht="15.75" thickBot="1" x14ac:dyDescent="0.3">
      <c r="J58" s="39" t="s">
        <v>62</v>
      </c>
      <c r="K58" s="40" t="s">
        <v>63</v>
      </c>
      <c r="L58" s="41" t="s">
        <v>64</v>
      </c>
      <c r="M58" s="41" t="s">
        <v>65</v>
      </c>
      <c r="N58" s="41" t="s">
        <v>66</v>
      </c>
      <c r="O58" s="41" t="s">
        <v>67</v>
      </c>
      <c r="P58" s="41" t="s">
        <v>65</v>
      </c>
      <c r="Q58" s="41" t="s">
        <v>67</v>
      </c>
      <c r="R58" s="41" t="s">
        <v>65</v>
      </c>
      <c r="S58" s="41" t="s">
        <v>67</v>
      </c>
      <c r="T58" s="41" t="s">
        <v>65</v>
      </c>
    </row>
    <row r="59" spans="10:20" ht="24" thickBot="1" x14ac:dyDescent="0.3">
      <c r="J59" s="42" t="s">
        <v>62</v>
      </c>
      <c r="K59" s="43" t="s">
        <v>62</v>
      </c>
      <c r="L59" s="42" t="s">
        <v>62</v>
      </c>
      <c r="M59" s="42" t="s">
        <v>62</v>
      </c>
      <c r="N59" s="42" t="s">
        <v>62</v>
      </c>
      <c r="O59" s="44" t="s">
        <v>68</v>
      </c>
      <c r="P59" s="42" t="s">
        <v>62</v>
      </c>
      <c r="Q59" s="42" t="s">
        <v>62</v>
      </c>
      <c r="R59" s="42" t="s">
        <v>62</v>
      </c>
      <c r="S59" s="45"/>
      <c r="T59" s="45"/>
    </row>
    <row r="60" spans="10:20" ht="24" thickBot="1" x14ac:dyDescent="0.3">
      <c r="J60" s="41">
        <v>50</v>
      </c>
      <c r="K60" s="40">
        <v>42</v>
      </c>
      <c r="L60" s="41">
        <v>49</v>
      </c>
      <c r="M60" s="41" t="s">
        <v>69</v>
      </c>
      <c r="N60" s="41">
        <v>48</v>
      </c>
      <c r="O60" s="44">
        <v>55</v>
      </c>
      <c r="P60" s="41">
        <v>62</v>
      </c>
      <c r="Q60" s="41" t="s">
        <v>69</v>
      </c>
      <c r="R60" s="41" t="s">
        <v>69</v>
      </c>
      <c r="S60" s="41">
        <v>62</v>
      </c>
      <c r="T60" s="45"/>
    </row>
    <row r="61" spans="10:20" ht="15.75" thickBot="1" x14ac:dyDescent="0.3">
      <c r="J61" s="46">
        <v>90</v>
      </c>
      <c r="K61" s="47">
        <v>107</v>
      </c>
      <c r="L61" s="46">
        <v>119</v>
      </c>
      <c r="M61" s="46">
        <v>132</v>
      </c>
      <c r="N61" s="46">
        <v>126</v>
      </c>
      <c r="O61" s="48">
        <v>139</v>
      </c>
      <c r="P61" s="46">
        <v>151</v>
      </c>
      <c r="Q61" s="46">
        <v>173</v>
      </c>
      <c r="R61" s="46">
        <v>185</v>
      </c>
      <c r="S61" s="46">
        <v>160</v>
      </c>
      <c r="T61" s="46">
        <v>172</v>
      </c>
    </row>
    <row r="62" spans="10:20" ht="15.75" thickBot="1" x14ac:dyDescent="0.3">
      <c r="J62" s="41">
        <v>120</v>
      </c>
      <c r="K62" s="40" t="s">
        <v>69</v>
      </c>
      <c r="L62" s="41">
        <v>190</v>
      </c>
      <c r="M62" s="41">
        <v>207</v>
      </c>
      <c r="N62" s="41" t="s">
        <v>69</v>
      </c>
      <c r="O62" s="44">
        <v>224</v>
      </c>
      <c r="P62" s="41">
        <v>241</v>
      </c>
      <c r="Q62" s="41">
        <v>285</v>
      </c>
      <c r="R62" s="41">
        <v>301</v>
      </c>
      <c r="S62" s="41" t="s">
        <v>70</v>
      </c>
      <c r="T62" s="41" t="s">
        <v>71</v>
      </c>
    </row>
    <row r="63" spans="10:20" ht="18" x14ac:dyDescent="0.25">
      <c r="J63" s="49" t="s">
        <v>72</v>
      </c>
      <c r="O63" s="50" t="s">
        <v>73</v>
      </c>
    </row>
  </sheetData>
  <sheetProtection algorithmName="SHA-512" hashValue="j0tr4tG2pURtgODBuFpednGMJcHwEfzJ8BS7PnvqyiMAn26m/P0fp0xx2yG+v/hCJorFzpJCB1/LbWmQrPNkCQ==" saltValue="kj04CV8OT0Q8sTXy7J9mLw==" spinCount="100000" sheet="1" objects="1" scenarios="1" selectLockedCells="1"/>
  <mergeCells count="14">
    <mergeCell ref="S56:T56"/>
    <mergeCell ref="S57:T57"/>
    <mergeCell ref="K56:M56"/>
    <mergeCell ref="K57:M57"/>
    <mergeCell ref="N56:P56"/>
    <mergeCell ref="N57:P57"/>
    <mergeCell ref="Q56:R56"/>
    <mergeCell ref="Q57:R57"/>
    <mergeCell ref="J56:J57"/>
    <mergeCell ref="L3:M3"/>
    <mergeCell ref="N3:O3"/>
    <mergeCell ref="P3:Q3"/>
    <mergeCell ref="L2:O2"/>
    <mergeCell ref="P2:Q2"/>
  </mergeCells>
  <hyperlinks>
    <hyperlink ref="O63" r:id="rId1" display="mailto:james.hughes@nzta.govt.nz" xr:uid="{00000000-0004-0000-0000-000000000000}"/>
  </hyperlinks>
  <pageMargins left="0.7" right="0.7" top="0.75" bottom="0.75" header="0.3" footer="0.3"/>
  <pageSetup paperSize="8"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BA490"/>
  <sheetViews>
    <sheetView topLeftCell="A10" zoomScale="70" zoomScaleNormal="70" workbookViewId="0">
      <selection activeCell="C15" sqref="C15"/>
    </sheetView>
  </sheetViews>
  <sheetFormatPr defaultRowHeight="15" x14ac:dyDescent="0.25"/>
  <cols>
    <col min="1" max="1" width="24.5703125" customWidth="1"/>
    <col min="2" max="2" width="8.42578125" customWidth="1"/>
    <col min="3" max="3" width="11.42578125" customWidth="1"/>
    <col min="4" max="4" width="12" customWidth="1"/>
    <col min="5" max="5" width="14.140625" customWidth="1"/>
    <col min="6" max="6" width="19.42578125" customWidth="1"/>
    <col min="7" max="7" width="13.28515625" customWidth="1"/>
    <col min="8" max="8" width="18.7109375" customWidth="1"/>
    <col min="9" max="9" width="6" customWidth="1"/>
    <col min="10" max="10" width="13.85546875" customWidth="1"/>
    <col min="11" max="11" width="11" customWidth="1"/>
    <col min="12" max="12" width="11.140625" customWidth="1"/>
    <col min="13" max="13" width="8.85546875" customWidth="1"/>
    <col min="14" max="14" width="22.42578125" customWidth="1"/>
    <col min="15" max="15" width="12.85546875" customWidth="1"/>
    <col min="16" max="16" width="11.85546875" customWidth="1"/>
    <col min="32" max="53" width="8.7109375" style="79"/>
  </cols>
  <sheetData>
    <row r="1" spans="1:31" ht="27" customHeight="1" thickBot="1" x14ac:dyDescent="0.45">
      <c r="A1" s="181" t="s">
        <v>74</v>
      </c>
      <c r="C1" s="115" t="s">
        <v>75</v>
      </c>
      <c r="D1" s="116"/>
      <c r="E1" s="117"/>
      <c r="F1" s="79"/>
      <c r="G1" s="180"/>
      <c r="H1" s="180"/>
      <c r="I1" s="180"/>
      <c r="J1" s="180"/>
      <c r="K1" s="180"/>
      <c r="L1" s="180"/>
      <c r="M1" s="180"/>
      <c r="N1" s="180"/>
      <c r="O1" s="180"/>
      <c r="P1" s="180"/>
      <c r="Q1" s="79"/>
      <c r="R1" s="79"/>
      <c r="S1" s="79"/>
      <c r="T1" s="79"/>
      <c r="U1" s="79"/>
      <c r="V1" s="79"/>
      <c r="W1" s="79"/>
      <c r="X1" s="79"/>
      <c r="Y1" s="79"/>
      <c r="Z1" s="79"/>
      <c r="AA1" s="79"/>
      <c r="AB1" s="79"/>
      <c r="AC1" s="79"/>
      <c r="AD1" s="79"/>
      <c r="AE1" s="79"/>
    </row>
    <row r="2" spans="1:31" ht="17.25" customHeight="1" x14ac:dyDescent="0.25">
      <c r="A2" s="182"/>
      <c r="B2" s="79"/>
      <c r="C2" s="104"/>
      <c r="D2" s="184" t="s">
        <v>76</v>
      </c>
      <c r="E2" s="185"/>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1" ht="15" customHeight="1" x14ac:dyDescent="0.25">
      <c r="A3" s="182"/>
      <c r="B3" s="79"/>
      <c r="C3" s="105"/>
      <c r="D3" s="188" t="s">
        <v>77</v>
      </c>
      <c r="E3" s="18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1" ht="15" customHeight="1" x14ac:dyDescent="0.25">
      <c r="A4" s="182"/>
      <c r="B4" s="79"/>
      <c r="C4" s="82"/>
      <c r="D4" s="186" t="s">
        <v>5</v>
      </c>
      <c r="E4" s="187"/>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1" ht="15.75" customHeight="1" thickBot="1" x14ac:dyDescent="0.3">
      <c r="A5" s="183"/>
      <c r="B5" s="79"/>
      <c r="C5" s="127"/>
      <c r="D5" s="190" t="s">
        <v>78</v>
      </c>
      <c r="E5" s="191"/>
      <c r="F5" s="79"/>
      <c r="G5" s="79"/>
      <c r="H5" s="79"/>
      <c r="I5" s="79"/>
      <c r="J5" s="79"/>
      <c r="K5" s="79"/>
      <c r="L5" s="79"/>
      <c r="M5" s="79"/>
      <c r="N5" s="79"/>
      <c r="O5" s="79"/>
      <c r="P5" s="79"/>
      <c r="Q5" s="79"/>
      <c r="R5" s="79"/>
      <c r="S5" s="79"/>
      <c r="T5" s="79"/>
      <c r="U5" s="79"/>
      <c r="V5" s="79"/>
      <c r="W5" s="79"/>
      <c r="X5" s="79"/>
      <c r="Y5" s="79"/>
      <c r="Z5" s="79"/>
      <c r="AA5" s="79"/>
      <c r="AB5" s="79"/>
      <c r="AC5" s="79"/>
      <c r="AD5" s="79"/>
      <c r="AE5" s="79"/>
    </row>
    <row r="6" spans="1:31" ht="107.25" customHeight="1" x14ac:dyDescent="0.25">
      <c r="A6" s="126"/>
      <c r="B6" s="79"/>
      <c r="D6" s="79"/>
      <c r="F6" s="79"/>
      <c r="G6" s="79"/>
      <c r="H6" s="79"/>
      <c r="I6" s="79"/>
      <c r="J6" s="79"/>
      <c r="K6" s="79"/>
      <c r="L6" s="79"/>
      <c r="M6" s="79"/>
      <c r="N6" s="79"/>
      <c r="O6" s="79"/>
      <c r="P6" s="79"/>
      <c r="Q6" s="79"/>
      <c r="R6" s="79"/>
      <c r="S6" s="79"/>
      <c r="T6" s="79"/>
      <c r="U6" s="79"/>
      <c r="V6" s="79"/>
      <c r="W6" s="79"/>
      <c r="X6" s="79"/>
      <c r="Y6" s="79"/>
      <c r="Z6" s="79"/>
      <c r="AA6" s="79"/>
      <c r="AB6" s="79"/>
      <c r="AC6" s="79"/>
      <c r="AD6" s="79"/>
      <c r="AE6" s="79"/>
    </row>
    <row r="7" spans="1:31" ht="19.5" thickBot="1" x14ac:dyDescent="0.35">
      <c r="A7" s="101"/>
      <c r="B7" s="122" t="s">
        <v>79</v>
      </c>
      <c r="C7" s="121" t="s">
        <v>80</v>
      </c>
      <c r="D7" s="119" t="s">
        <v>81</v>
      </c>
      <c r="E7" s="120" t="s">
        <v>82</v>
      </c>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1" ht="21.75" thickBot="1" x14ac:dyDescent="0.4">
      <c r="A8" s="79" t="s">
        <v>14</v>
      </c>
      <c r="B8" s="98" t="s">
        <v>83</v>
      </c>
      <c r="C8" s="138">
        <v>0.35</v>
      </c>
      <c r="D8" s="139">
        <v>0.5</v>
      </c>
      <c r="E8" s="80"/>
      <c r="F8" s="85"/>
      <c r="G8" s="85"/>
      <c r="H8" s="79"/>
      <c r="I8" s="79"/>
      <c r="J8" s="79"/>
      <c r="K8" s="79"/>
      <c r="L8" s="79"/>
      <c r="M8" s="79"/>
      <c r="N8" s="79"/>
      <c r="O8" s="79"/>
      <c r="P8" s="79"/>
      <c r="Q8" s="79"/>
      <c r="R8" s="79"/>
      <c r="S8" s="79"/>
      <c r="T8" s="79"/>
      <c r="U8" s="79"/>
      <c r="V8" s="79"/>
      <c r="W8" s="79"/>
      <c r="X8" s="79"/>
      <c r="Y8" s="79"/>
      <c r="Z8" s="79"/>
      <c r="AA8" s="79"/>
      <c r="AB8" s="79"/>
      <c r="AC8" s="79"/>
      <c r="AD8" s="79"/>
      <c r="AE8" s="79"/>
    </row>
    <row r="9" spans="1:31" ht="21.75" thickBot="1" x14ac:dyDescent="0.4">
      <c r="A9" s="79"/>
      <c r="B9" s="99"/>
      <c r="C9" s="2"/>
      <c r="D9" s="85"/>
      <c r="E9" s="85"/>
      <c r="F9" s="85"/>
      <c r="G9" s="85"/>
      <c r="H9" s="79"/>
      <c r="I9" s="79"/>
      <c r="J9" s="79"/>
      <c r="K9" s="79"/>
      <c r="L9" s="79"/>
      <c r="M9" s="79"/>
      <c r="N9" s="79"/>
      <c r="O9" s="79"/>
      <c r="P9" s="79"/>
      <c r="Q9" s="79"/>
      <c r="R9" s="79"/>
      <c r="S9" s="79"/>
      <c r="T9" s="79"/>
      <c r="U9" s="79"/>
      <c r="V9" s="79"/>
      <c r="W9" s="79"/>
      <c r="X9" s="79"/>
      <c r="Y9" s="79"/>
      <c r="Z9" s="79"/>
      <c r="AA9" s="79"/>
      <c r="AB9" s="79"/>
      <c r="AC9" s="79"/>
      <c r="AD9" s="79"/>
      <c r="AE9" s="79"/>
    </row>
    <row r="10" spans="1:31" ht="21" x14ac:dyDescent="0.35">
      <c r="A10" s="79" t="s">
        <v>84</v>
      </c>
      <c r="B10" s="98" t="s">
        <v>85</v>
      </c>
      <c r="C10" s="140">
        <v>50</v>
      </c>
      <c r="D10" s="85"/>
      <c r="E10" s="85"/>
      <c r="F10" s="85"/>
      <c r="G10" s="85"/>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1:31" ht="21.75" thickBot="1" x14ac:dyDescent="0.4">
      <c r="A11" s="79" t="s">
        <v>86</v>
      </c>
      <c r="B11" s="98" t="s">
        <v>87</v>
      </c>
      <c r="C11" s="141">
        <v>0</v>
      </c>
      <c r="D11" s="85"/>
      <c r="E11" s="85"/>
      <c r="F11" s="85"/>
      <c r="G11" s="85"/>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1:31" ht="21.75" thickBot="1" x14ac:dyDescent="0.4">
      <c r="A12" s="79" t="s">
        <v>88</v>
      </c>
      <c r="B12" s="98" t="s">
        <v>89</v>
      </c>
      <c r="C12" s="142">
        <v>0</v>
      </c>
      <c r="D12" s="124">
        <f>C76</f>
        <v>19.656203075874039</v>
      </c>
      <c r="E12" s="112" t="str">
        <f>CONCATENATE("← Speed at Tangent needs to be lower than expected ",ROUND(D112,1)," kmh")</f>
        <v>← Speed at Tangent needs to be lower than expected 19.7 kmh</v>
      </c>
      <c r="F12" s="85"/>
      <c r="G12" s="85"/>
      <c r="H12" s="79"/>
      <c r="I12" s="79"/>
      <c r="J12" s="79"/>
      <c r="K12" s="79"/>
      <c r="L12" s="79"/>
      <c r="M12" s="79"/>
      <c r="N12" s="79"/>
      <c r="O12" s="79"/>
      <c r="P12" s="79"/>
      <c r="Q12" s="79"/>
      <c r="R12" s="79"/>
      <c r="S12" s="79"/>
      <c r="T12" s="79"/>
      <c r="U12" s="79"/>
      <c r="V12" s="79"/>
      <c r="W12" s="79"/>
      <c r="X12" s="79"/>
      <c r="Y12" s="79"/>
      <c r="Z12" s="79"/>
      <c r="AA12" s="79"/>
      <c r="AB12" s="79"/>
      <c r="AC12" s="79"/>
      <c r="AD12" s="79"/>
      <c r="AE12" s="79"/>
    </row>
    <row r="13" spans="1:31" ht="21.75" thickBot="1" x14ac:dyDescent="0.4">
      <c r="A13" s="79" t="s">
        <v>90</v>
      </c>
      <c r="B13" s="98" t="s">
        <v>91</v>
      </c>
      <c r="C13" s="177" t="s">
        <v>92</v>
      </c>
      <c r="D13" s="178"/>
      <c r="E13" s="124">
        <f>VLOOKUP(C13,N73:Q92,4,FALSE)*3.6</f>
        <v>7.2720000000000002</v>
      </c>
      <c r="F13" s="131">
        <f>VLOOKUP(C13,N73:Q92,4,FALSE)</f>
        <v>2.02</v>
      </c>
      <c r="G13" s="147"/>
      <c r="H13" s="79"/>
      <c r="I13" s="79"/>
      <c r="J13" s="79"/>
      <c r="K13" s="79"/>
      <c r="L13" s="79"/>
      <c r="M13" s="79"/>
      <c r="N13" s="79"/>
      <c r="O13" s="79"/>
      <c r="P13" s="79"/>
      <c r="Q13" s="79"/>
      <c r="R13" s="79"/>
      <c r="S13" s="79"/>
      <c r="T13" s="79"/>
      <c r="U13" s="79"/>
      <c r="V13" s="79"/>
      <c r="W13" s="79"/>
      <c r="X13" s="79"/>
      <c r="Y13" s="79"/>
      <c r="Z13" s="79"/>
      <c r="AA13" s="79"/>
      <c r="AB13" s="79"/>
      <c r="AC13" s="79"/>
      <c r="AD13" s="79"/>
      <c r="AE13" s="79"/>
    </row>
    <row r="14" spans="1:31" ht="21.75" thickBot="1" x14ac:dyDescent="0.4">
      <c r="A14" s="79"/>
      <c r="B14" s="99"/>
      <c r="C14" s="70"/>
      <c r="E14" s="79"/>
      <c r="F14" s="85"/>
      <c r="G14" s="85"/>
      <c r="H14" s="79"/>
      <c r="I14" s="79"/>
      <c r="J14" s="79"/>
      <c r="K14" s="79"/>
      <c r="L14" s="79"/>
      <c r="M14" s="79"/>
      <c r="N14" s="79"/>
      <c r="O14" s="79"/>
      <c r="P14" s="79"/>
      <c r="Q14" s="79"/>
      <c r="R14" s="79"/>
      <c r="S14" s="79"/>
      <c r="T14" s="79"/>
      <c r="U14" s="79"/>
      <c r="V14" s="79"/>
      <c r="W14" s="79"/>
      <c r="X14" s="79"/>
      <c r="Y14" s="79"/>
      <c r="Z14" s="79"/>
      <c r="AA14" s="79"/>
      <c r="AB14" s="79"/>
      <c r="AC14" s="79"/>
      <c r="AD14" s="79"/>
      <c r="AE14" s="79"/>
    </row>
    <row r="15" spans="1:31" ht="21" x14ac:dyDescent="0.35">
      <c r="A15" s="79" t="s">
        <v>93</v>
      </c>
      <c r="B15" s="98" t="s">
        <v>94</v>
      </c>
      <c r="C15" s="143">
        <v>8</v>
      </c>
      <c r="D15" s="102"/>
      <c r="E15" s="85"/>
      <c r="F15" s="85"/>
      <c r="G15" s="85"/>
      <c r="H15" s="79"/>
      <c r="I15" s="86"/>
      <c r="J15" s="79"/>
      <c r="K15" s="79"/>
      <c r="L15" s="79"/>
      <c r="M15" s="79"/>
      <c r="N15" s="79"/>
      <c r="O15" s="79"/>
      <c r="P15" s="79"/>
      <c r="Q15" s="79"/>
      <c r="R15" s="79"/>
      <c r="S15" s="79"/>
      <c r="T15" s="79"/>
      <c r="U15" s="79"/>
      <c r="V15" s="79"/>
      <c r="W15" s="79"/>
      <c r="X15" s="79"/>
      <c r="Y15" s="79"/>
      <c r="Z15" s="79"/>
      <c r="AA15" s="79"/>
      <c r="AB15" s="79"/>
      <c r="AC15" s="79"/>
      <c r="AD15" s="79"/>
      <c r="AE15" s="79"/>
    </row>
    <row r="16" spans="1:31" ht="21" x14ac:dyDescent="0.35">
      <c r="A16" s="79" t="s">
        <v>95</v>
      </c>
      <c r="B16" s="98" t="s">
        <v>96</v>
      </c>
      <c r="C16" s="144">
        <v>90</v>
      </c>
      <c r="D16" s="103"/>
      <c r="E16" s="85"/>
      <c r="F16" s="85"/>
      <c r="G16" s="85"/>
      <c r="H16" s="79"/>
      <c r="I16" s="88"/>
      <c r="J16" s="79"/>
      <c r="K16" s="79"/>
      <c r="L16" s="79"/>
      <c r="M16" s="79"/>
      <c r="N16" s="79"/>
      <c r="O16" s="79"/>
      <c r="P16" s="79"/>
      <c r="Q16" s="79"/>
      <c r="R16" s="79"/>
      <c r="S16" s="79"/>
      <c r="T16" s="79"/>
      <c r="U16" s="79"/>
      <c r="V16" s="79"/>
      <c r="W16" s="79"/>
      <c r="X16" s="79"/>
      <c r="Y16" s="79"/>
      <c r="Z16" s="79"/>
      <c r="AA16" s="79"/>
      <c r="AB16" s="79"/>
      <c r="AC16" s="79"/>
      <c r="AD16" s="79"/>
      <c r="AE16" s="79"/>
    </row>
    <row r="17" spans="1:31" ht="21" x14ac:dyDescent="0.35">
      <c r="A17" s="79" t="s">
        <v>97</v>
      </c>
      <c r="B17" s="98" t="s">
        <v>98</v>
      </c>
      <c r="C17" s="145">
        <v>0.03</v>
      </c>
      <c r="D17" s="79"/>
      <c r="F17" s="85"/>
      <c r="G17" s="85"/>
      <c r="H17" s="79"/>
      <c r="I17" s="88"/>
      <c r="J17" s="79"/>
      <c r="K17" s="79"/>
      <c r="L17" s="79"/>
      <c r="M17" s="79"/>
      <c r="N17" s="79"/>
      <c r="O17" s="79"/>
      <c r="P17" s="79"/>
      <c r="Q17" s="79"/>
      <c r="R17" s="79"/>
      <c r="S17" s="79"/>
      <c r="T17" s="79"/>
      <c r="U17" s="79"/>
      <c r="V17" s="79"/>
      <c r="W17" s="79"/>
      <c r="X17" s="79"/>
      <c r="Y17" s="79"/>
      <c r="Z17" s="79"/>
      <c r="AA17" s="79"/>
      <c r="AB17" s="79"/>
      <c r="AC17" s="79"/>
      <c r="AD17" s="79"/>
      <c r="AE17" s="79"/>
    </row>
    <row r="18" spans="1:31" ht="21.75" thickBot="1" x14ac:dyDescent="0.4">
      <c r="A18" s="79" t="s">
        <v>99</v>
      </c>
      <c r="B18" s="98" t="s">
        <v>100</v>
      </c>
      <c r="C18" s="145">
        <v>0</v>
      </c>
      <c r="D18" s="119" t="s">
        <v>81</v>
      </c>
      <c r="E18" s="120" t="s">
        <v>101</v>
      </c>
      <c r="F18" s="100"/>
      <c r="G18" s="85"/>
      <c r="H18" s="79"/>
      <c r="I18" s="86"/>
      <c r="J18" s="79"/>
      <c r="K18" s="79"/>
      <c r="L18" s="79"/>
      <c r="M18" s="79"/>
      <c r="N18" s="79"/>
      <c r="O18" s="79"/>
      <c r="P18" s="79"/>
      <c r="Q18" s="79"/>
      <c r="R18" s="79"/>
      <c r="S18" s="79"/>
      <c r="T18" s="79"/>
      <c r="U18" s="79"/>
      <c r="V18" s="79"/>
      <c r="W18" s="79"/>
      <c r="X18" s="79"/>
      <c r="Y18" s="79"/>
      <c r="Z18" s="79"/>
      <c r="AA18" s="79"/>
      <c r="AB18" s="79"/>
      <c r="AC18" s="79"/>
      <c r="AD18" s="79"/>
      <c r="AE18" s="79"/>
    </row>
    <row r="19" spans="1:31" ht="21.75" thickBot="1" x14ac:dyDescent="0.4">
      <c r="A19" s="79" t="s">
        <v>102</v>
      </c>
      <c r="B19" s="98" t="s">
        <v>103</v>
      </c>
      <c r="C19" s="146">
        <v>3</v>
      </c>
      <c r="D19" s="125">
        <f>SUM(D93:D96)-D97</f>
        <v>2.5580048846137489</v>
      </c>
      <c r="E19" s="123" t="s">
        <v>104</v>
      </c>
      <c r="F19" s="100"/>
      <c r="G19" s="85"/>
      <c r="H19" s="79"/>
      <c r="I19" s="86"/>
      <c r="J19" s="79"/>
      <c r="K19" s="79"/>
      <c r="L19" s="79"/>
      <c r="M19" s="79"/>
      <c r="N19" s="79"/>
      <c r="O19" s="79"/>
      <c r="P19" s="79"/>
      <c r="Q19" s="79"/>
      <c r="R19" s="79"/>
      <c r="S19" s="79"/>
      <c r="T19" s="79"/>
      <c r="U19" s="79"/>
      <c r="V19" s="79"/>
      <c r="W19" s="79"/>
      <c r="X19" s="79"/>
      <c r="Y19" s="79"/>
      <c r="Z19" s="79"/>
      <c r="AA19" s="79"/>
      <c r="AB19" s="79"/>
      <c r="AC19" s="79"/>
      <c r="AD19" s="79"/>
      <c r="AE19" s="79"/>
    </row>
    <row r="20" spans="1:31" x14ac:dyDescent="0.25">
      <c r="A20" s="79"/>
      <c r="B20" s="79"/>
      <c r="C20" s="67"/>
      <c r="D20" s="85"/>
      <c r="E20" s="85"/>
      <c r="F20" s="85"/>
      <c r="G20" s="85"/>
      <c r="H20" s="79"/>
      <c r="I20" s="86"/>
      <c r="J20" s="79"/>
      <c r="K20" s="79"/>
      <c r="L20" s="79"/>
      <c r="M20" s="79"/>
      <c r="N20" s="79"/>
      <c r="O20" s="79"/>
      <c r="P20" s="79"/>
      <c r="Q20" s="79"/>
      <c r="R20" s="79"/>
      <c r="S20" s="79"/>
      <c r="T20" s="79"/>
      <c r="U20" s="79"/>
      <c r="V20" s="79"/>
      <c r="W20" s="79"/>
      <c r="X20" s="79"/>
      <c r="Y20" s="79"/>
      <c r="Z20" s="79"/>
      <c r="AA20" s="79"/>
      <c r="AB20" s="79"/>
      <c r="AC20" s="79"/>
      <c r="AD20" s="79"/>
      <c r="AE20" s="79"/>
    </row>
    <row r="21" spans="1:31" ht="15.75" thickBot="1" x14ac:dyDescent="0.3">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row>
    <row r="22" spans="1:31" ht="15" customHeight="1" x14ac:dyDescent="0.25">
      <c r="A22" s="179" t="s">
        <v>105</v>
      </c>
      <c r="B22" s="179"/>
      <c r="C22" s="192">
        <f>IF((C15&gt;0),IF((C12&gt;0),(G32),(MAX(($E$78+$E$77),G32))),E81)</f>
        <v>11.671360870474011</v>
      </c>
      <c r="D22" s="193"/>
      <c r="E22" s="171" t="str">
        <f>CONCATENATE("← ",(ROUND((E79+E80),1)),"m added for speed correction at tangent")</f>
        <v>← 0m added for speed correction at tangent</v>
      </c>
      <c r="F22" s="171"/>
      <c r="G22" s="171"/>
      <c r="H22" s="171"/>
      <c r="I22" s="79"/>
      <c r="J22" s="79"/>
      <c r="K22" s="79"/>
      <c r="L22" s="79"/>
      <c r="M22" s="79"/>
      <c r="N22" s="79"/>
      <c r="O22" s="79"/>
      <c r="P22" s="79"/>
      <c r="Q22" s="79"/>
      <c r="R22" s="79"/>
      <c r="S22" s="79"/>
      <c r="T22" s="79"/>
      <c r="U22" s="79"/>
      <c r="V22" s="79"/>
      <c r="W22" s="79"/>
      <c r="X22" s="79"/>
      <c r="Y22" s="79"/>
      <c r="Z22" s="79"/>
      <c r="AA22" s="79"/>
      <c r="AB22" s="79"/>
      <c r="AC22" s="79"/>
      <c r="AD22" s="79"/>
      <c r="AE22" s="79"/>
    </row>
    <row r="23" spans="1:31" ht="29.25" customHeight="1" thickBot="1" x14ac:dyDescent="0.3">
      <c r="A23" s="179"/>
      <c r="B23" s="179"/>
      <c r="C23" s="194"/>
      <c r="D23" s="195"/>
      <c r="E23" s="171"/>
      <c r="F23" s="171"/>
      <c r="G23" s="171"/>
      <c r="H23" s="171"/>
      <c r="I23" s="79"/>
      <c r="J23" s="79"/>
      <c r="K23" s="79"/>
      <c r="L23" s="79"/>
      <c r="M23" s="79"/>
      <c r="N23" s="79"/>
      <c r="O23" s="79"/>
      <c r="P23" s="79"/>
      <c r="Q23" s="79"/>
      <c r="R23" s="79"/>
      <c r="S23" s="79"/>
      <c r="T23" s="79"/>
      <c r="U23" s="79"/>
      <c r="V23" s="79"/>
      <c r="W23" s="79"/>
      <c r="X23" s="79"/>
      <c r="Y23" s="79"/>
      <c r="Z23" s="79"/>
      <c r="AA23" s="79"/>
      <c r="AB23" s="79"/>
      <c r="AC23" s="79"/>
      <c r="AD23" s="79"/>
      <c r="AE23" s="79"/>
    </row>
    <row r="24" spans="1:31" ht="46.5" customHeight="1" thickBot="1" x14ac:dyDescent="0.3">
      <c r="A24" s="179" t="s">
        <v>106</v>
      </c>
      <c r="B24" s="179"/>
      <c r="C24" s="200">
        <f>IF((C15&gt;0),MAX(F77,F78)+E80+E79,E81)</f>
        <v>24.237731484833184</v>
      </c>
      <c r="D24" s="201"/>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row>
    <row r="25" spans="1:31" ht="25.5" customHeight="1" x14ac:dyDescent="0.25">
      <c r="A25" s="179" t="s">
        <v>107</v>
      </c>
      <c r="B25" s="179"/>
      <c r="C25" s="196">
        <f>IF(G13&gt;0,G13*G77,F13*G77)</f>
        <v>9.2733629288374519</v>
      </c>
      <c r="D25" s="197"/>
      <c r="E25" s="79"/>
      <c r="F25" s="79"/>
      <c r="G25" s="79"/>
      <c r="H25" s="79"/>
      <c r="I25" s="79"/>
      <c r="J25" s="79"/>
      <c r="K25" s="79"/>
      <c r="L25" s="114"/>
      <c r="M25" s="114"/>
      <c r="N25" s="114"/>
      <c r="O25" s="114"/>
      <c r="P25" s="114"/>
      <c r="Q25" s="114"/>
      <c r="R25" s="114"/>
      <c r="S25" s="114"/>
      <c r="T25" s="114"/>
      <c r="U25" s="79"/>
      <c r="V25" s="79"/>
      <c r="W25" s="79"/>
      <c r="X25" s="79"/>
      <c r="Y25" s="79"/>
      <c r="Z25" s="79"/>
      <c r="AA25" s="79"/>
      <c r="AB25" s="79"/>
      <c r="AC25" s="79"/>
      <c r="AD25" s="79"/>
      <c r="AE25" s="79"/>
    </row>
    <row r="26" spans="1:31" ht="15" customHeight="1" thickBot="1" x14ac:dyDescent="0.3">
      <c r="A26" s="179"/>
      <c r="B26" s="179"/>
      <c r="C26" s="198"/>
      <c r="D26" s="199"/>
      <c r="E26" s="79"/>
      <c r="F26" s="79"/>
      <c r="G26" s="79"/>
      <c r="H26" s="79"/>
      <c r="I26" s="79"/>
      <c r="J26" s="79"/>
      <c r="K26" s="79"/>
      <c r="L26" s="114"/>
      <c r="M26" s="114"/>
      <c r="N26" s="114"/>
      <c r="O26" s="114"/>
      <c r="P26" s="114"/>
      <c r="Q26" s="114"/>
      <c r="R26" s="114"/>
      <c r="S26" s="114"/>
      <c r="T26" s="114"/>
      <c r="U26" s="79"/>
      <c r="V26" s="79"/>
      <c r="W26" s="79"/>
      <c r="X26" s="79"/>
      <c r="Y26" s="79"/>
      <c r="Z26" s="79"/>
      <c r="AA26" s="79"/>
      <c r="AB26" s="79"/>
      <c r="AC26" s="79"/>
      <c r="AD26" s="79"/>
      <c r="AE26" s="79"/>
    </row>
    <row r="27" spans="1:31" x14ac:dyDescent="0.25">
      <c r="A27" s="79"/>
      <c r="B27" s="79"/>
      <c r="C27" s="79"/>
      <c r="D27" s="79"/>
      <c r="E27" s="79"/>
      <c r="F27" s="79"/>
      <c r="G27" s="79"/>
      <c r="H27" s="79"/>
      <c r="I27" s="79"/>
      <c r="J27" s="79"/>
      <c r="K27" s="79"/>
      <c r="L27" s="114"/>
      <c r="M27" s="114"/>
      <c r="N27" s="114"/>
      <c r="O27" s="114"/>
      <c r="P27" s="114"/>
      <c r="Q27" s="114"/>
      <c r="R27" s="114"/>
      <c r="S27" s="114"/>
      <c r="T27" s="114"/>
      <c r="U27" s="79"/>
      <c r="V27" s="79"/>
      <c r="W27" s="79"/>
      <c r="X27" s="79"/>
      <c r="Y27" s="79"/>
      <c r="Z27" s="79"/>
      <c r="AA27" s="79"/>
      <c r="AB27" s="79"/>
      <c r="AC27" s="79"/>
      <c r="AD27" s="79"/>
      <c r="AE27" s="79"/>
    </row>
    <row r="28" spans="1:31" ht="18.75" customHeight="1" x14ac:dyDescent="0.3">
      <c r="A28" s="175" t="s">
        <v>108</v>
      </c>
      <c r="B28" s="175"/>
      <c r="C28" s="175"/>
      <c r="D28" s="175"/>
      <c r="E28" s="175"/>
      <c r="F28" s="175"/>
      <c r="G28" s="175"/>
      <c r="H28" s="134" t="s">
        <v>80</v>
      </c>
      <c r="I28" s="79"/>
      <c r="J28" s="79"/>
      <c r="K28" s="79"/>
      <c r="L28" s="114"/>
      <c r="M28" s="114"/>
      <c r="N28" s="114"/>
      <c r="O28" s="114"/>
      <c r="P28" s="114"/>
      <c r="Q28" s="114"/>
      <c r="R28" s="114"/>
      <c r="S28" s="114"/>
      <c r="T28" s="114"/>
      <c r="U28" s="79"/>
      <c r="V28" s="79"/>
      <c r="W28" s="79"/>
      <c r="X28" s="79"/>
      <c r="Y28" s="79"/>
      <c r="Z28" s="79"/>
      <c r="AA28" s="79"/>
      <c r="AB28" s="79"/>
      <c r="AC28" s="79"/>
      <c r="AD28" s="79"/>
      <c r="AE28" s="79"/>
    </row>
    <row r="29" spans="1:31" ht="15" customHeight="1" x14ac:dyDescent="0.25">
      <c r="A29" s="175"/>
      <c r="B29" s="175"/>
      <c r="C29" s="175"/>
      <c r="D29" s="175"/>
      <c r="E29" s="175"/>
      <c r="F29" s="175"/>
      <c r="G29" s="175"/>
      <c r="H29" s="79"/>
      <c r="I29" s="79"/>
      <c r="J29" s="79"/>
      <c r="K29" s="79"/>
      <c r="L29" s="114"/>
      <c r="M29" s="114"/>
      <c r="N29" s="114"/>
      <c r="O29" s="114"/>
      <c r="P29" s="114"/>
      <c r="Q29" s="114"/>
      <c r="R29" s="114"/>
      <c r="S29" s="114"/>
      <c r="T29" s="114"/>
      <c r="U29" s="79"/>
      <c r="V29" s="79"/>
      <c r="W29" s="79"/>
      <c r="X29" s="79"/>
      <c r="Y29" s="79"/>
      <c r="Z29" s="79"/>
      <c r="AA29" s="79"/>
      <c r="AB29" s="79"/>
      <c r="AC29" s="79"/>
      <c r="AD29" s="79"/>
      <c r="AE29" s="79"/>
    </row>
    <row r="30" spans="1:31" ht="14.25" customHeight="1" x14ac:dyDescent="0.25">
      <c r="A30" s="79"/>
      <c r="B30" s="79"/>
      <c r="C30" s="118"/>
      <c r="D30" s="118"/>
      <c r="E30" s="118"/>
      <c r="F30" s="118"/>
      <c r="G30" s="79"/>
      <c r="H30" s="79"/>
      <c r="I30" s="86"/>
      <c r="J30" s="79"/>
      <c r="K30" s="79"/>
      <c r="L30" s="114"/>
      <c r="M30" s="114"/>
      <c r="N30" s="114"/>
      <c r="O30" s="114"/>
      <c r="P30" s="114"/>
      <c r="Q30" s="114"/>
      <c r="R30" s="114"/>
      <c r="S30" s="114"/>
      <c r="T30" s="114"/>
      <c r="U30" s="79"/>
      <c r="V30" s="79"/>
      <c r="W30" s="79"/>
      <c r="X30" s="79"/>
      <c r="Y30" s="79"/>
      <c r="Z30" s="79"/>
      <c r="AA30" s="79"/>
      <c r="AB30" s="79"/>
      <c r="AC30" s="79"/>
      <c r="AD30" s="79"/>
      <c r="AE30" s="79"/>
    </row>
    <row r="31" spans="1:31" x14ac:dyDescent="0.25">
      <c r="A31" s="79"/>
      <c r="B31" s="79"/>
      <c r="C31" s="79"/>
      <c r="D31" s="79"/>
      <c r="E31" s="79"/>
      <c r="F31" s="79"/>
      <c r="G31" s="79"/>
      <c r="H31" s="79"/>
      <c r="I31" s="88"/>
      <c r="J31" s="79"/>
      <c r="K31" s="79"/>
      <c r="L31" s="114"/>
      <c r="M31" s="114"/>
      <c r="N31" s="114"/>
      <c r="O31" s="114"/>
      <c r="P31" s="114"/>
      <c r="Q31" s="114"/>
      <c r="R31" s="114"/>
      <c r="S31" s="114"/>
      <c r="T31" s="114"/>
      <c r="U31" s="79"/>
      <c r="V31" s="79"/>
      <c r="W31" s="79"/>
      <c r="X31" s="79"/>
      <c r="Y31" s="79"/>
      <c r="Z31" s="79"/>
      <c r="AA31" s="79"/>
      <c r="AB31" s="79"/>
      <c r="AC31" s="79"/>
      <c r="AD31" s="79"/>
      <c r="AE31" s="79"/>
    </row>
    <row r="32" spans="1:31" x14ac:dyDescent="0.25">
      <c r="A32" s="79"/>
      <c r="B32" s="79"/>
      <c r="C32" s="79"/>
      <c r="D32" s="79"/>
      <c r="E32" s="79"/>
      <c r="F32" s="79"/>
      <c r="G32" s="113">
        <f>($E$78+$E$77)+E79+E80</f>
        <v>11.671360870474011</v>
      </c>
      <c r="H32" s="79"/>
      <c r="I32" s="86"/>
      <c r="J32" s="79"/>
      <c r="K32" s="79"/>
      <c r="L32" s="114"/>
      <c r="M32" s="114"/>
      <c r="N32" s="114"/>
      <c r="O32" s="114"/>
      <c r="P32" s="114"/>
      <c r="Q32" s="114"/>
      <c r="R32" s="114"/>
      <c r="S32" s="114"/>
      <c r="T32" s="114"/>
      <c r="U32" s="79"/>
      <c r="V32" s="79"/>
      <c r="W32" s="79"/>
      <c r="X32" s="79"/>
      <c r="Y32" s="79"/>
      <c r="Z32" s="79"/>
      <c r="AA32" s="79"/>
      <c r="AB32" s="79"/>
      <c r="AC32" s="79"/>
      <c r="AD32" s="79"/>
      <c r="AE32" s="79"/>
    </row>
    <row r="33" spans="1:31" ht="23.25" customHeight="1" x14ac:dyDescent="0.25">
      <c r="A33" s="79"/>
      <c r="B33" s="79"/>
      <c r="C33" s="79"/>
      <c r="D33" s="79"/>
      <c r="E33" s="79"/>
      <c r="F33" s="79"/>
      <c r="G33" s="79"/>
      <c r="H33" s="79"/>
      <c r="I33" s="79"/>
      <c r="J33" s="79"/>
      <c r="K33" s="79"/>
      <c r="L33" s="114"/>
      <c r="M33" s="114"/>
      <c r="N33" s="114"/>
      <c r="O33" s="114"/>
      <c r="P33" s="114"/>
      <c r="Q33" s="114"/>
      <c r="R33" s="114"/>
      <c r="S33" s="114"/>
      <c r="T33" s="114"/>
      <c r="U33" s="79"/>
      <c r="V33" s="79"/>
      <c r="W33" s="79"/>
      <c r="X33" s="79"/>
      <c r="Y33" s="79"/>
      <c r="Z33" s="79"/>
      <c r="AA33" s="79"/>
      <c r="AB33" s="79"/>
      <c r="AC33" s="79"/>
      <c r="AD33" s="79"/>
      <c r="AE33" s="79"/>
    </row>
    <row r="34" spans="1:31" ht="15" customHeight="1" x14ac:dyDescent="0.25">
      <c r="A34" s="79"/>
      <c r="B34" s="79"/>
      <c r="C34" s="79"/>
      <c r="D34" s="79"/>
      <c r="E34" s="79"/>
      <c r="F34" s="79"/>
      <c r="G34" s="79"/>
      <c r="H34" s="79"/>
      <c r="I34" s="79"/>
      <c r="J34" s="79"/>
      <c r="K34" s="79"/>
      <c r="L34" s="114"/>
      <c r="M34" s="114"/>
      <c r="N34" s="114"/>
      <c r="O34" s="114"/>
      <c r="P34" s="114"/>
      <c r="Q34" s="114"/>
      <c r="R34" s="114"/>
      <c r="S34" s="114"/>
      <c r="T34" s="114"/>
      <c r="U34" s="79"/>
      <c r="V34" s="79"/>
      <c r="W34" s="79"/>
      <c r="X34" s="79"/>
      <c r="Y34" s="79"/>
      <c r="Z34" s="79"/>
      <c r="AA34" s="79"/>
      <c r="AB34" s="79"/>
      <c r="AC34" s="79"/>
      <c r="AD34" s="79"/>
      <c r="AE34" s="79"/>
    </row>
    <row r="35" spans="1:31" ht="15" customHeight="1" x14ac:dyDescent="0.25">
      <c r="A35" s="79"/>
      <c r="B35" s="79"/>
      <c r="C35" s="79"/>
      <c r="D35" s="79"/>
      <c r="E35" s="79"/>
      <c r="F35" s="79"/>
      <c r="G35" s="79"/>
      <c r="H35" s="79"/>
      <c r="I35" s="79"/>
      <c r="J35" s="114"/>
      <c r="K35" s="114"/>
      <c r="L35" s="114"/>
      <c r="M35" s="114"/>
      <c r="N35" s="114"/>
      <c r="O35" s="114"/>
      <c r="P35" s="114"/>
      <c r="Q35" s="114"/>
      <c r="R35" s="114"/>
      <c r="S35" s="114"/>
      <c r="T35" s="114"/>
      <c r="U35" s="114"/>
      <c r="V35" s="79"/>
      <c r="W35" s="79"/>
      <c r="X35" s="79"/>
      <c r="Y35" s="79"/>
      <c r="Z35" s="79"/>
      <c r="AA35" s="79"/>
      <c r="AB35" s="79"/>
      <c r="AC35" s="79"/>
      <c r="AD35" s="79"/>
      <c r="AE35" s="79"/>
    </row>
    <row r="36" spans="1:31" ht="23.25" customHeight="1" x14ac:dyDescent="0.25">
      <c r="A36" s="79"/>
      <c r="B36" s="79"/>
      <c r="C36" s="79"/>
      <c r="D36" s="79"/>
      <c r="E36" s="79"/>
      <c r="F36" s="79"/>
      <c r="G36" s="79"/>
      <c r="H36" s="79"/>
      <c r="I36" s="79"/>
      <c r="J36" s="114"/>
      <c r="K36" s="114"/>
      <c r="L36" s="114"/>
      <c r="M36" s="114"/>
      <c r="N36" s="114"/>
      <c r="O36" s="114"/>
      <c r="P36" s="114"/>
      <c r="Q36" s="114"/>
      <c r="R36" s="114"/>
      <c r="S36" s="114"/>
      <c r="T36" s="114"/>
      <c r="U36" s="114"/>
      <c r="V36" s="79"/>
      <c r="W36" s="79"/>
      <c r="X36" s="79"/>
      <c r="Y36" s="79"/>
      <c r="Z36" s="79"/>
      <c r="AA36" s="79"/>
      <c r="AB36" s="79"/>
      <c r="AC36" s="79"/>
      <c r="AD36" s="79"/>
      <c r="AE36" s="79"/>
    </row>
    <row r="37" spans="1:31" ht="15" customHeight="1" x14ac:dyDescent="0.25">
      <c r="A37" s="79"/>
      <c r="B37" s="79"/>
      <c r="C37" s="79"/>
      <c r="D37" s="79"/>
      <c r="E37" s="79"/>
      <c r="F37" s="79"/>
      <c r="G37" s="79"/>
      <c r="H37" s="79"/>
      <c r="I37" s="79"/>
      <c r="J37" s="114"/>
      <c r="K37" s="114"/>
      <c r="L37" s="114"/>
      <c r="M37" s="114"/>
      <c r="N37" s="114"/>
      <c r="O37" s="114"/>
      <c r="P37" s="114"/>
      <c r="Q37" s="114"/>
      <c r="R37" s="114"/>
      <c r="S37" s="114"/>
      <c r="T37" s="114"/>
      <c r="U37" s="114"/>
      <c r="V37" s="79"/>
      <c r="W37" s="79"/>
      <c r="X37" s="79"/>
      <c r="Y37" s="79"/>
      <c r="Z37" s="79"/>
      <c r="AA37" s="79"/>
      <c r="AB37" s="79"/>
      <c r="AC37" s="79"/>
      <c r="AD37" s="79"/>
      <c r="AE37" s="79"/>
    </row>
    <row r="38" spans="1:31" ht="15" customHeight="1" x14ac:dyDescent="0.25">
      <c r="A38" s="79"/>
      <c r="B38" s="79"/>
      <c r="C38" s="79"/>
      <c r="D38" s="79"/>
      <c r="E38" s="79"/>
      <c r="F38" s="79"/>
      <c r="G38" s="79"/>
      <c r="H38" s="79"/>
      <c r="I38" s="79"/>
      <c r="J38" s="114"/>
      <c r="K38" s="114"/>
      <c r="L38" s="114"/>
      <c r="M38" s="114"/>
      <c r="N38" s="114"/>
      <c r="O38" s="114"/>
      <c r="P38" s="114"/>
      <c r="Q38" s="114"/>
      <c r="R38" s="114"/>
      <c r="S38" s="114"/>
      <c r="T38" s="114"/>
      <c r="U38" s="114"/>
      <c r="V38" s="79"/>
      <c r="W38" s="79"/>
      <c r="X38" s="79"/>
      <c r="Y38" s="79"/>
      <c r="Z38" s="79"/>
      <c r="AA38" s="79"/>
      <c r="AB38" s="79"/>
      <c r="AC38" s="79"/>
      <c r="AD38" s="79"/>
      <c r="AE38" s="79"/>
    </row>
    <row r="39" spans="1:31" ht="15" customHeight="1" x14ac:dyDescent="0.25">
      <c r="A39" s="79"/>
      <c r="B39" s="79"/>
      <c r="C39" s="79"/>
      <c r="D39" s="79"/>
      <c r="E39" s="79"/>
      <c r="F39" s="79"/>
      <c r="G39" s="79"/>
      <c r="H39" s="79"/>
      <c r="I39" s="79"/>
      <c r="J39" s="114"/>
      <c r="K39" s="114"/>
      <c r="L39" s="114"/>
      <c r="M39" s="114"/>
      <c r="N39" s="114"/>
      <c r="O39" s="114"/>
      <c r="P39" s="114"/>
      <c r="Q39" s="114"/>
      <c r="R39" s="114"/>
      <c r="S39" s="114"/>
      <c r="T39" s="114"/>
      <c r="U39" s="114"/>
      <c r="V39" s="79"/>
      <c r="W39" s="79"/>
      <c r="X39" s="79"/>
      <c r="Y39" s="79"/>
      <c r="Z39" s="79"/>
      <c r="AA39" s="79"/>
      <c r="AB39" s="79"/>
      <c r="AC39" s="79"/>
      <c r="AD39" s="79"/>
      <c r="AE39" s="79"/>
    </row>
    <row r="40" spans="1:31" ht="15" customHeight="1" x14ac:dyDescent="0.25">
      <c r="A40" s="79"/>
      <c r="B40" s="79"/>
      <c r="C40" s="79"/>
      <c r="D40" s="79"/>
      <c r="E40" s="79"/>
      <c r="F40" s="79"/>
      <c r="G40" s="79"/>
      <c r="H40" s="79"/>
      <c r="I40" s="79"/>
      <c r="J40" s="114"/>
      <c r="K40" s="114"/>
      <c r="L40" s="114"/>
      <c r="M40" s="114"/>
      <c r="N40" s="114"/>
      <c r="O40" s="114"/>
      <c r="P40" s="114"/>
      <c r="Q40" s="114"/>
      <c r="R40" s="114"/>
      <c r="S40" s="114"/>
      <c r="T40" s="114"/>
      <c r="U40" s="114"/>
      <c r="V40" s="79"/>
      <c r="W40" s="79"/>
      <c r="X40" s="79"/>
      <c r="Y40" s="79"/>
      <c r="Z40" s="79"/>
      <c r="AA40" s="79"/>
      <c r="AB40" s="79"/>
      <c r="AC40" s="79"/>
      <c r="AD40" s="79"/>
      <c r="AE40" s="79"/>
    </row>
    <row r="41" spans="1:31" ht="15" customHeight="1" x14ac:dyDescent="0.25">
      <c r="A41" s="79"/>
      <c r="B41" s="79"/>
      <c r="C41" s="79"/>
      <c r="D41" s="79"/>
      <c r="E41" s="79"/>
      <c r="F41" s="79"/>
      <c r="G41" s="79"/>
      <c r="H41" s="79"/>
      <c r="I41" s="79"/>
      <c r="J41" s="114"/>
      <c r="K41" s="114"/>
      <c r="L41" s="114"/>
      <c r="M41" s="114"/>
      <c r="N41" s="114"/>
      <c r="O41" s="114"/>
      <c r="P41" s="114"/>
      <c r="Q41" s="114"/>
      <c r="R41" s="114"/>
      <c r="S41" s="114"/>
      <c r="T41" s="114"/>
      <c r="U41" s="114"/>
      <c r="V41" s="79"/>
      <c r="W41" s="79"/>
      <c r="X41" s="79"/>
      <c r="Y41" s="79"/>
      <c r="Z41" s="79"/>
      <c r="AA41" s="79"/>
      <c r="AB41" s="79"/>
      <c r="AC41" s="79"/>
      <c r="AD41" s="79"/>
      <c r="AE41" s="79"/>
    </row>
    <row r="42" spans="1:31" ht="15" customHeight="1" x14ac:dyDescent="0.25">
      <c r="A42" s="79"/>
      <c r="B42" s="79"/>
      <c r="C42" s="79"/>
      <c r="D42" s="79"/>
      <c r="E42" s="79"/>
      <c r="F42" s="79"/>
      <c r="G42" s="79"/>
      <c r="H42" s="79"/>
      <c r="I42" s="79"/>
      <c r="J42" s="114"/>
      <c r="K42" s="114"/>
      <c r="L42" s="114"/>
      <c r="M42" s="114"/>
      <c r="N42" s="114"/>
      <c r="O42" s="114"/>
      <c r="P42" s="114"/>
      <c r="Q42" s="114"/>
      <c r="R42" s="114"/>
      <c r="S42" s="114"/>
      <c r="T42" s="114"/>
      <c r="U42" s="114"/>
      <c r="V42" s="79"/>
      <c r="W42" s="79"/>
      <c r="X42" s="79"/>
      <c r="Y42" s="79"/>
      <c r="Z42" s="79"/>
      <c r="AA42" s="79"/>
      <c r="AB42" s="79"/>
      <c r="AC42" s="79"/>
      <c r="AD42" s="79"/>
      <c r="AE42" s="79"/>
    </row>
    <row r="43" spans="1:31" ht="15" customHeight="1" x14ac:dyDescent="0.25">
      <c r="A43" s="79"/>
      <c r="B43" s="79"/>
      <c r="C43" s="79"/>
      <c r="D43" s="79"/>
      <c r="E43" s="79"/>
      <c r="F43" s="79"/>
      <c r="G43" s="79"/>
      <c r="H43" s="79"/>
      <c r="I43" s="79"/>
      <c r="J43" s="114"/>
      <c r="K43" s="114"/>
      <c r="L43" s="114"/>
      <c r="M43" s="114"/>
      <c r="N43" s="114"/>
      <c r="O43" s="114"/>
      <c r="P43" s="114"/>
      <c r="Q43" s="114"/>
      <c r="R43" s="114"/>
      <c r="S43" s="114"/>
      <c r="T43" s="114"/>
      <c r="U43" s="114"/>
      <c r="V43" s="79"/>
      <c r="W43" s="79"/>
      <c r="X43" s="79"/>
      <c r="Y43" s="79"/>
      <c r="Z43" s="79"/>
      <c r="AA43" s="79"/>
      <c r="AB43" s="79"/>
      <c r="AC43" s="79"/>
      <c r="AD43" s="79"/>
      <c r="AE43" s="79"/>
    </row>
    <row r="44" spans="1:31" ht="15" customHeight="1" x14ac:dyDescent="0.25">
      <c r="A44" s="79"/>
      <c r="B44" s="79"/>
      <c r="C44" s="79"/>
      <c r="D44" s="79"/>
      <c r="E44" s="79"/>
      <c r="F44" s="79"/>
      <c r="G44" s="79"/>
      <c r="H44" s="79"/>
      <c r="I44" s="79"/>
      <c r="J44" s="114"/>
      <c r="K44" s="114"/>
      <c r="L44" s="114"/>
      <c r="M44" s="114"/>
      <c r="N44" s="114"/>
      <c r="O44" s="114"/>
      <c r="P44" s="114"/>
      <c r="Q44" s="114"/>
      <c r="R44" s="114"/>
      <c r="S44" s="114"/>
      <c r="T44" s="114"/>
      <c r="U44" s="114"/>
      <c r="V44" s="79"/>
      <c r="W44" s="79"/>
      <c r="X44" s="79"/>
      <c r="Y44" s="79"/>
      <c r="Z44" s="79"/>
      <c r="AA44" s="79"/>
      <c r="AB44" s="79"/>
      <c r="AC44" s="79"/>
      <c r="AD44" s="79"/>
      <c r="AE44" s="79"/>
    </row>
    <row r="45" spans="1:31" ht="15" customHeight="1" x14ac:dyDescent="0.25">
      <c r="A45" s="79"/>
      <c r="B45" s="79"/>
      <c r="C45" s="79"/>
      <c r="D45" s="79"/>
      <c r="E45" s="79"/>
      <c r="F45" s="79"/>
      <c r="G45" s="79"/>
      <c r="H45" s="79"/>
      <c r="I45" s="79"/>
      <c r="J45" s="114"/>
      <c r="K45" s="114"/>
      <c r="L45" s="114"/>
      <c r="M45" s="114"/>
      <c r="N45" s="114"/>
      <c r="O45" s="114"/>
      <c r="P45" s="114"/>
      <c r="Q45" s="114"/>
      <c r="R45" s="114"/>
      <c r="S45" s="114"/>
      <c r="T45" s="114"/>
      <c r="U45" s="114"/>
      <c r="V45" s="79"/>
      <c r="W45" s="79"/>
      <c r="X45" s="79"/>
      <c r="Y45" s="79"/>
      <c r="Z45" s="79"/>
      <c r="AA45" s="79"/>
      <c r="AB45" s="79"/>
      <c r="AC45" s="79"/>
      <c r="AD45" s="79"/>
      <c r="AE45" s="79"/>
    </row>
    <row r="46" spans="1:31" ht="15" customHeight="1" x14ac:dyDescent="0.25">
      <c r="A46" s="79"/>
      <c r="B46" s="79"/>
      <c r="C46" s="79"/>
      <c r="D46" s="79"/>
      <c r="E46" s="79"/>
      <c r="F46" s="79"/>
      <c r="G46" s="79"/>
      <c r="H46" s="79"/>
      <c r="I46" s="79"/>
      <c r="J46" s="114"/>
      <c r="K46" s="114"/>
      <c r="L46" s="114"/>
      <c r="M46" s="114"/>
      <c r="N46" s="114"/>
      <c r="O46" s="114"/>
      <c r="P46" s="114"/>
      <c r="Q46" s="114"/>
      <c r="R46" s="114"/>
      <c r="S46" s="114"/>
      <c r="T46" s="114"/>
      <c r="U46" s="114"/>
      <c r="V46" s="79"/>
      <c r="W46" s="79"/>
      <c r="X46" s="79"/>
      <c r="Y46" s="79"/>
      <c r="Z46" s="79"/>
      <c r="AA46" s="79"/>
      <c r="AB46" s="79"/>
      <c r="AC46" s="79"/>
      <c r="AD46" s="79"/>
      <c r="AE46" s="79"/>
    </row>
    <row r="47" spans="1:31" ht="15" customHeight="1" x14ac:dyDescent="0.25">
      <c r="A47" s="79"/>
      <c r="B47" s="79"/>
      <c r="C47" s="79"/>
      <c r="D47" s="79"/>
      <c r="E47" s="79"/>
      <c r="F47" s="79"/>
      <c r="G47" s="79"/>
      <c r="H47" s="79"/>
      <c r="I47" s="79"/>
      <c r="J47" s="114"/>
      <c r="K47" s="114"/>
      <c r="L47" s="114"/>
      <c r="M47" s="114"/>
      <c r="N47" s="114"/>
      <c r="O47" s="114"/>
      <c r="P47" s="114"/>
      <c r="Q47" s="114"/>
      <c r="R47" s="114"/>
      <c r="S47" s="114"/>
      <c r="T47" s="114"/>
      <c r="U47" s="114"/>
      <c r="V47" s="79"/>
      <c r="W47" s="79"/>
      <c r="X47" s="79"/>
      <c r="Y47" s="79"/>
      <c r="Z47" s="79"/>
      <c r="AA47" s="79"/>
      <c r="AB47" s="79"/>
      <c r="AC47" s="79"/>
      <c r="AD47" s="79"/>
      <c r="AE47" s="79"/>
    </row>
    <row r="48" spans="1:31" ht="15" customHeight="1" x14ac:dyDescent="0.25">
      <c r="A48" s="79"/>
      <c r="B48" s="79"/>
      <c r="C48" s="79"/>
      <c r="D48" s="79"/>
      <c r="E48" s="79"/>
      <c r="F48" s="79"/>
      <c r="G48" s="79"/>
      <c r="H48" s="79"/>
      <c r="I48" s="79"/>
      <c r="J48" s="114"/>
      <c r="K48" s="114"/>
      <c r="L48" s="114"/>
      <c r="M48" s="114"/>
      <c r="N48" s="114"/>
      <c r="O48" s="114"/>
      <c r="P48" s="114"/>
      <c r="Q48" s="114"/>
      <c r="R48" s="114"/>
      <c r="S48" s="114"/>
      <c r="T48" s="114"/>
      <c r="U48" s="114"/>
      <c r="V48" s="79"/>
      <c r="W48" s="79"/>
      <c r="X48" s="79"/>
      <c r="Y48" s="79"/>
      <c r="Z48" s="79"/>
      <c r="AA48" s="79"/>
      <c r="AB48" s="79"/>
      <c r="AC48" s="79"/>
      <c r="AD48" s="79"/>
      <c r="AE48" s="79"/>
    </row>
    <row r="49" spans="1:31" ht="15" customHeight="1" x14ac:dyDescent="0.25">
      <c r="A49" s="79"/>
      <c r="B49" s="79"/>
      <c r="C49" s="79"/>
      <c r="D49" s="79"/>
      <c r="E49" s="79"/>
      <c r="F49" s="79"/>
      <c r="G49" s="79"/>
      <c r="H49" s="79"/>
      <c r="I49" s="79"/>
      <c r="J49" s="114"/>
      <c r="K49" s="114"/>
      <c r="L49" s="114"/>
      <c r="M49" s="114"/>
      <c r="N49" s="114"/>
      <c r="O49" s="114"/>
      <c r="P49" s="114"/>
      <c r="Q49" s="114"/>
      <c r="R49" s="114"/>
      <c r="S49" s="114"/>
      <c r="T49" s="114"/>
      <c r="U49" s="114"/>
      <c r="V49" s="79"/>
      <c r="W49" s="79"/>
      <c r="X49" s="79"/>
      <c r="Y49" s="79"/>
      <c r="Z49" s="79"/>
      <c r="AA49" s="79"/>
      <c r="AB49" s="79"/>
      <c r="AC49" s="79"/>
      <c r="AD49" s="79"/>
      <c r="AE49" s="79"/>
    </row>
    <row r="50" spans="1:31" ht="15" customHeight="1" x14ac:dyDescent="0.25">
      <c r="A50" s="79"/>
      <c r="B50" s="79"/>
      <c r="C50" s="79"/>
      <c r="D50" s="79"/>
      <c r="E50" s="79"/>
      <c r="F50" s="79"/>
      <c r="G50" s="79"/>
      <c r="H50" s="79"/>
      <c r="I50" s="79"/>
      <c r="J50" s="114"/>
      <c r="K50" s="114"/>
      <c r="L50" s="114"/>
      <c r="M50" s="114"/>
      <c r="N50" s="114"/>
      <c r="O50" s="114"/>
      <c r="P50" s="114"/>
      <c r="Q50" s="114"/>
      <c r="R50" s="114"/>
      <c r="S50" s="114"/>
      <c r="T50" s="114"/>
      <c r="U50" s="114"/>
      <c r="V50" s="79"/>
      <c r="W50" s="79"/>
      <c r="X50" s="79"/>
      <c r="Y50" s="79"/>
      <c r="Z50" s="79"/>
      <c r="AA50" s="79"/>
      <c r="AB50" s="79"/>
      <c r="AC50" s="79"/>
      <c r="AD50" s="79"/>
      <c r="AE50" s="79"/>
    </row>
    <row r="51" spans="1:31" ht="15" customHeight="1" x14ac:dyDescent="0.25">
      <c r="A51" s="79"/>
      <c r="B51" s="79"/>
      <c r="C51" s="79"/>
      <c r="D51" s="79"/>
      <c r="E51" s="79"/>
      <c r="F51" s="79"/>
      <c r="G51" s="79"/>
      <c r="H51" s="79"/>
      <c r="I51" s="79"/>
      <c r="J51" s="114"/>
      <c r="K51" s="114"/>
      <c r="L51" s="114"/>
      <c r="M51" s="114"/>
      <c r="N51" s="114"/>
      <c r="O51" s="114"/>
      <c r="P51" s="114"/>
      <c r="Q51" s="114"/>
      <c r="R51" s="114"/>
      <c r="S51" s="114"/>
      <c r="T51" s="114"/>
      <c r="U51" s="114"/>
      <c r="V51" s="79"/>
      <c r="W51" s="79"/>
      <c r="X51" s="79"/>
      <c r="Y51" s="79"/>
      <c r="Z51" s="79"/>
      <c r="AA51" s="79"/>
      <c r="AB51" s="79"/>
      <c r="AC51" s="79"/>
      <c r="AD51" s="79"/>
      <c r="AE51" s="79"/>
    </row>
    <row r="52" spans="1:31" ht="15" customHeight="1" x14ac:dyDescent="0.25">
      <c r="A52" s="79"/>
      <c r="B52" s="79"/>
      <c r="C52" s="79"/>
      <c r="D52" s="79"/>
      <c r="E52" s="79"/>
      <c r="F52" s="79"/>
      <c r="G52" s="79"/>
      <c r="H52" s="79"/>
      <c r="I52" s="79"/>
      <c r="J52" s="114"/>
      <c r="K52" s="114"/>
      <c r="L52" s="114"/>
      <c r="M52" s="114"/>
      <c r="N52" s="114"/>
      <c r="O52" s="114"/>
      <c r="P52" s="114"/>
      <c r="Q52" s="114"/>
      <c r="R52" s="114"/>
      <c r="S52" s="114"/>
      <c r="T52" s="114"/>
      <c r="U52" s="114"/>
      <c r="V52" s="79"/>
      <c r="W52" s="79"/>
      <c r="X52" s="79"/>
      <c r="Y52" s="79"/>
      <c r="Z52" s="79"/>
      <c r="AA52" s="79"/>
      <c r="AB52" s="79"/>
      <c r="AC52" s="79"/>
      <c r="AD52" s="79"/>
      <c r="AE52" s="79"/>
    </row>
    <row r="53" spans="1:31" ht="15" customHeight="1" x14ac:dyDescent="0.25">
      <c r="A53" s="79"/>
      <c r="B53" s="79"/>
      <c r="C53" s="79"/>
      <c r="D53" s="79"/>
      <c r="E53" s="79"/>
      <c r="F53" s="79"/>
      <c r="G53" s="79"/>
      <c r="H53" s="79"/>
      <c r="I53" s="79"/>
      <c r="J53" s="114"/>
      <c r="K53" s="114"/>
      <c r="L53" s="114"/>
      <c r="M53" s="114"/>
      <c r="N53" s="114"/>
      <c r="O53" s="114"/>
      <c r="P53" s="114"/>
      <c r="Q53" s="114"/>
      <c r="R53" s="114"/>
      <c r="S53" s="114"/>
      <c r="T53" s="114"/>
      <c r="U53" s="114"/>
      <c r="V53" s="79"/>
      <c r="W53" s="79"/>
      <c r="X53" s="79"/>
      <c r="Y53" s="79"/>
      <c r="Z53" s="79"/>
      <c r="AA53" s="79"/>
      <c r="AB53" s="79"/>
      <c r="AC53" s="79"/>
      <c r="AD53" s="79"/>
      <c r="AE53" s="79"/>
    </row>
    <row r="54" spans="1:31" ht="15" customHeight="1" x14ac:dyDescent="0.25">
      <c r="A54" s="79"/>
      <c r="B54" s="79"/>
      <c r="C54" s="79"/>
      <c r="D54" s="79"/>
      <c r="E54" s="79"/>
      <c r="F54" s="79"/>
      <c r="G54" s="79"/>
      <c r="H54" s="79"/>
      <c r="I54" s="79"/>
      <c r="J54" s="114"/>
      <c r="K54" s="114"/>
      <c r="L54" s="114"/>
      <c r="M54" s="114"/>
      <c r="N54" s="114"/>
      <c r="O54" s="114"/>
      <c r="P54" s="114"/>
      <c r="Q54" s="114"/>
      <c r="R54" s="114"/>
      <c r="S54" s="114"/>
      <c r="T54" s="114"/>
      <c r="U54" s="114"/>
      <c r="V54" s="79"/>
      <c r="W54" s="79"/>
      <c r="X54" s="79"/>
      <c r="Y54" s="79"/>
      <c r="Z54" s="79"/>
      <c r="AA54" s="79"/>
      <c r="AB54" s="79"/>
      <c r="AC54" s="79"/>
      <c r="AD54" s="79"/>
      <c r="AE54" s="79"/>
    </row>
    <row r="55" spans="1:31" ht="15" customHeight="1" x14ac:dyDescent="0.25">
      <c r="A55" s="79"/>
      <c r="B55" s="79"/>
      <c r="C55" s="79"/>
      <c r="D55" s="79"/>
      <c r="E55" s="79"/>
      <c r="F55" s="79"/>
      <c r="G55" s="79"/>
      <c r="H55" s="79"/>
      <c r="I55" s="79"/>
      <c r="J55" s="114"/>
      <c r="K55" s="114"/>
      <c r="L55" s="114"/>
      <c r="M55" s="114"/>
      <c r="N55" s="114"/>
      <c r="O55" s="114"/>
      <c r="P55" s="114"/>
      <c r="Q55" s="114"/>
      <c r="R55" s="114"/>
      <c r="S55" s="114"/>
      <c r="T55" s="114"/>
      <c r="U55" s="114"/>
      <c r="V55" s="79"/>
      <c r="W55" s="79"/>
      <c r="X55" s="79"/>
      <c r="Y55" s="79"/>
      <c r="Z55" s="79"/>
      <c r="AA55" s="79"/>
      <c r="AB55" s="79"/>
      <c r="AC55" s="79"/>
      <c r="AD55" s="79"/>
      <c r="AE55" s="79"/>
    </row>
    <row r="56" spans="1:31" ht="15" customHeight="1" x14ac:dyDescent="0.25">
      <c r="A56" s="79"/>
      <c r="B56" s="79"/>
      <c r="C56" s="79"/>
      <c r="D56" s="79"/>
      <c r="E56" s="79"/>
      <c r="F56" s="79"/>
      <c r="G56" s="79"/>
      <c r="H56" s="79"/>
      <c r="I56" s="79"/>
      <c r="J56" s="114"/>
      <c r="K56" s="114"/>
      <c r="L56" s="114"/>
      <c r="M56" s="114"/>
      <c r="N56" s="114"/>
      <c r="O56" s="114"/>
      <c r="P56" s="114"/>
      <c r="Q56" s="114"/>
      <c r="R56" s="114"/>
      <c r="S56" s="114"/>
      <c r="T56" s="114"/>
      <c r="U56" s="114"/>
      <c r="V56" s="79"/>
      <c r="W56" s="79"/>
      <c r="X56" s="79"/>
      <c r="Y56" s="79"/>
      <c r="Z56" s="79"/>
      <c r="AA56" s="79"/>
      <c r="AB56" s="79"/>
      <c r="AC56" s="79"/>
      <c r="AD56" s="79"/>
      <c r="AE56" s="79"/>
    </row>
    <row r="57" spans="1:31" ht="15" customHeight="1" x14ac:dyDescent="0.25">
      <c r="A57" s="79"/>
      <c r="B57" s="79"/>
      <c r="C57" s="79"/>
      <c r="D57" s="79"/>
      <c r="E57" s="79"/>
      <c r="F57" s="79"/>
      <c r="G57" s="79"/>
      <c r="H57" s="79"/>
      <c r="I57" s="79"/>
      <c r="J57" s="114"/>
      <c r="K57" s="114"/>
      <c r="L57" s="114"/>
      <c r="M57" s="114"/>
      <c r="N57" s="114"/>
      <c r="O57" s="114"/>
      <c r="P57" s="114"/>
      <c r="Q57" s="114"/>
      <c r="R57" s="114"/>
      <c r="S57" s="114"/>
      <c r="T57" s="114"/>
      <c r="U57" s="114"/>
      <c r="V57" s="79"/>
      <c r="W57" s="79"/>
      <c r="X57" s="79"/>
      <c r="Y57" s="79"/>
      <c r="Z57" s="79"/>
      <c r="AA57" s="79"/>
      <c r="AB57" s="79"/>
      <c r="AC57" s="79"/>
      <c r="AD57" s="79"/>
      <c r="AE57" s="79"/>
    </row>
    <row r="58" spans="1:31" ht="15" customHeight="1" x14ac:dyDescent="0.25">
      <c r="A58" s="79"/>
      <c r="B58" s="79"/>
      <c r="C58" s="79"/>
      <c r="D58" s="79"/>
      <c r="E58" s="79"/>
      <c r="F58" s="79"/>
      <c r="G58" s="79"/>
      <c r="H58" s="79"/>
      <c r="I58" s="79"/>
      <c r="J58" s="114"/>
      <c r="K58" s="114"/>
      <c r="L58" s="114"/>
      <c r="M58" s="114"/>
      <c r="N58" s="114"/>
      <c r="O58" s="114"/>
      <c r="P58" s="114"/>
      <c r="Q58" s="114"/>
      <c r="R58" s="114"/>
      <c r="S58" s="114"/>
      <c r="T58" s="114"/>
      <c r="U58" s="114"/>
      <c r="V58" s="79"/>
      <c r="W58" s="79"/>
      <c r="X58" s="79"/>
      <c r="Y58" s="79"/>
      <c r="Z58" s="79"/>
      <c r="AA58" s="79"/>
      <c r="AB58" s="79"/>
      <c r="AC58" s="79"/>
      <c r="AD58" s="79"/>
      <c r="AE58" s="79"/>
    </row>
    <row r="59" spans="1:31" ht="15" customHeight="1" x14ac:dyDescent="0.25">
      <c r="A59" s="79"/>
      <c r="B59" s="79"/>
      <c r="C59" s="79"/>
      <c r="D59" s="79"/>
      <c r="E59" s="79"/>
      <c r="F59" s="79"/>
      <c r="G59" s="79"/>
      <c r="H59" s="79"/>
      <c r="I59" s="79"/>
      <c r="J59" s="114"/>
      <c r="K59" s="114"/>
      <c r="L59" s="114"/>
      <c r="M59" s="114"/>
      <c r="N59" s="114"/>
      <c r="O59" s="114"/>
      <c r="P59" s="114"/>
      <c r="Q59" s="114"/>
      <c r="R59" s="114"/>
      <c r="S59" s="114"/>
      <c r="T59" s="114"/>
      <c r="U59" s="114"/>
      <c r="V59" s="79"/>
      <c r="W59" s="79"/>
      <c r="X59" s="79"/>
      <c r="Y59" s="79"/>
      <c r="Z59" s="79"/>
      <c r="AA59" s="79"/>
      <c r="AB59" s="79"/>
      <c r="AC59" s="79"/>
      <c r="AD59" s="79"/>
      <c r="AE59" s="79"/>
    </row>
    <row r="60" spans="1:31" ht="15" customHeight="1" x14ac:dyDescent="0.25">
      <c r="A60" s="79"/>
      <c r="B60" s="79"/>
      <c r="C60" s="79"/>
      <c r="D60" s="79"/>
      <c r="E60" s="79"/>
      <c r="F60" s="79"/>
      <c r="G60" s="79"/>
      <c r="H60" s="79"/>
      <c r="I60" s="79"/>
      <c r="J60" s="114"/>
      <c r="K60" s="114"/>
      <c r="L60" s="114"/>
      <c r="M60" s="114"/>
      <c r="N60" s="108"/>
      <c r="O60" s="108"/>
      <c r="P60" s="108"/>
      <c r="Q60" s="108"/>
      <c r="R60" s="108"/>
      <c r="S60" s="108"/>
      <c r="T60" s="108"/>
      <c r="U60" s="108"/>
      <c r="V60" s="108"/>
      <c r="W60" s="79"/>
      <c r="X60" s="79"/>
      <c r="Y60" s="79"/>
      <c r="Z60" s="79"/>
      <c r="AA60" s="79"/>
      <c r="AB60" s="79"/>
      <c r="AC60" s="79"/>
      <c r="AD60" s="79"/>
      <c r="AE60" s="79"/>
    </row>
    <row r="61" spans="1:31" ht="15" customHeight="1" x14ac:dyDescent="0.25">
      <c r="A61" s="79"/>
      <c r="B61" s="79"/>
      <c r="C61" s="79"/>
      <c r="D61" s="79"/>
      <c r="E61" s="79"/>
      <c r="F61" s="79"/>
      <c r="G61" s="79"/>
      <c r="H61" s="79"/>
      <c r="I61" s="79"/>
      <c r="J61" s="114"/>
      <c r="K61" s="114"/>
      <c r="L61" s="114"/>
      <c r="M61" s="114"/>
      <c r="N61" s="108"/>
      <c r="O61" s="108"/>
      <c r="P61" s="108" t="s">
        <v>19</v>
      </c>
      <c r="Q61" s="108" t="s">
        <v>109</v>
      </c>
      <c r="R61" s="108" t="s">
        <v>110</v>
      </c>
      <c r="S61" s="108" t="s">
        <v>111</v>
      </c>
      <c r="T61" s="108" t="s">
        <v>112</v>
      </c>
      <c r="U61" s="108"/>
      <c r="V61" s="108"/>
      <c r="W61" s="79"/>
      <c r="X61" s="79"/>
      <c r="Y61" s="79"/>
      <c r="Z61" s="79"/>
      <c r="AA61" s="79"/>
      <c r="AB61" s="79"/>
      <c r="AC61" s="79"/>
      <c r="AD61" s="79"/>
      <c r="AE61" s="79"/>
    </row>
    <row r="62" spans="1:31" ht="17.25" customHeight="1" x14ac:dyDescent="0.25">
      <c r="A62" s="79"/>
      <c r="B62" s="79"/>
      <c r="C62" s="79"/>
      <c r="D62" s="79"/>
      <c r="E62" s="79"/>
      <c r="F62" s="79"/>
      <c r="G62" s="79"/>
      <c r="H62" s="79"/>
      <c r="I62" s="79"/>
      <c r="J62" s="114"/>
      <c r="K62" s="114"/>
      <c r="L62" s="114"/>
      <c r="M62" s="114"/>
      <c r="N62" s="113">
        <f>C73</f>
        <v>0</v>
      </c>
      <c r="O62" s="113">
        <f>F74</f>
        <v>0</v>
      </c>
      <c r="P62" s="108">
        <v>0</v>
      </c>
      <c r="Q62" s="108">
        <v>-5</v>
      </c>
      <c r="R62" s="108"/>
      <c r="S62" s="108">
        <v>-5</v>
      </c>
      <c r="T62" s="108"/>
      <c r="U62" s="108"/>
      <c r="V62" s="108"/>
      <c r="W62" s="79"/>
      <c r="X62" s="79"/>
      <c r="Y62" s="79"/>
      <c r="Z62" s="79"/>
      <c r="AA62" s="79"/>
      <c r="AB62" s="79"/>
      <c r="AC62" s="79"/>
      <c r="AD62" s="79"/>
      <c r="AE62" s="79"/>
    </row>
    <row r="63" spans="1:31" ht="14.25" customHeight="1" x14ac:dyDescent="0.25">
      <c r="A63" s="79"/>
      <c r="B63" s="79"/>
      <c r="C63" s="79"/>
      <c r="D63" s="79"/>
      <c r="E63" s="79"/>
      <c r="F63" s="79"/>
      <c r="G63" s="79"/>
      <c r="H63" s="79"/>
      <c r="I63" s="79"/>
      <c r="J63" s="114"/>
      <c r="K63" s="114"/>
      <c r="L63" s="114"/>
      <c r="M63" s="114"/>
      <c r="N63" s="113">
        <f>IF(C15=0,C10,C76)</f>
        <v>19.656203075874039</v>
      </c>
      <c r="O63" s="113">
        <f>IF(C15=0,(2*(((C10^2)/(254*(C8+C18)))/(C10/3.6))),G75)</f>
        <v>1.5907737271472526</v>
      </c>
      <c r="P63" s="108">
        <v>3</v>
      </c>
      <c r="Q63" s="108">
        <v>-5</v>
      </c>
      <c r="R63" s="108">
        <v>-5</v>
      </c>
      <c r="S63" s="108">
        <v>-5</v>
      </c>
      <c r="T63" s="108"/>
      <c r="U63" s="108"/>
      <c r="V63" s="108"/>
      <c r="W63" s="79"/>
      <c r="X63" s="79"/>
      <c r="Y63" s="79"/>
      <c r="Z63" s="79"/>
      <c r="AA63" s="79"/>
      <c r="AB63" s="79"/>
      <c r="AC63" s="79"/>
      <c r="AD63" s="79"/>
      <c r="AE63" s="79"/>
    </row>
    <row r="64" spans="1:31" ht="21.75" customHeight="1" x14ac:dyDescent="0.35">
      <c r="A64" s="84" t="str">
        <f>CONCATENATE("Visibility Obtained ",ROUND((E78+E77),1), "m from the swept path Tangent point.")</f>
        <v>Visibility Obtained 11.7m from the swept path Tangent point.</v>
      </c>
      <c r="B64" s="79"/>
      <c r="C64" s="79"/>
      <c r="D64" s="79"/>
      <c r="E64" s="79"/>
      <c r="F64" s="79"/>
      <c r="G64" s="79"/>
      <c r="H64" s="79"/>
      <c r="I64" s="79"/>
      <c r="J64" s="114"/>
      <c r="K64" s="114"/>
      <c r="L64" s="114"/>
      <c r="M64" s="114"/>
      <c r="N64" s="113">
        <f>IF(C15=0,C10,C76)</f>
        <v>19.656203075874039</v>
      </c>
      <c r="O64" s="113">
        <f>IF(C15=0,(2*(((C10^2)/(254*(C8+C18)))/(C10/3.6))),G76)</f>
        <v>3.1596898648495859</v>
      </c>
      <c r="P64" s="108">
        <v>3</v>
      </c>
      <c r="Q64" s="113">
        <v>-5</v>
      </c>
      <c r="R64" s="108">
        <v>-5</v>
      </c>
      <c r="S64" s="108">
        <v>-5</v>
      </c>
      <c r="T64" s="108"/>
      <c r="U64" s="108"/>
      <c r="V64" s="108"/>
      <c r="W64" s="79"/>
      <c r="X64" s="79"/>
      <c r="Y64" s="79"/>
      <c r="Z64" s="79"/>
      <c r="AA64" s="79"/>
      <c r="AB64" s="79"/>
      <c r="AC64" s="79"/>
      <c r="AD64" s="79"/>
      <c r="AE64" s="79"/>
    </row>
    <row r="65" spans="1:31" ht="15" customHeight="1" x14ac:dyDescent="0.25">
      <c r="A65" s="79"/>
      <c r="B65" s="79"/>
      <c r="C65" s="79"/>
      <c r="D65" s="79"/>
      <c r="E65" s="79"/>
      <c r="F65" s="79"/>
      <c r="G65" s="79"/>
      <c r="H65" s="79"/>
      <c r="I65" s="79"/>
      <c r="J65" s="114"/>
      <c r="K65" s="114"/>
      <c r="L65" s="114"/>
      <c r="M65" s="114"/>
      <c r="N65" s="113">
        <f>IF(C15=0,C10,C77)</f>
        <v>37.339217659207819</v>
      </c>
      <c r="O65" s="113">
        <f>IF(C15=0,(2*(((C10^2)/(254*(C8+C18)))/(C10/3.6)))+C19,G77)</f>
        <v>4.5907737271472531</v>
      </c>
      <c r="P65" s="108">
        <v>3</v>
      </c>
      <c r="Q65" s="113">
        <f>IF(C15=0,NA(),-5)</f>
        <v>-5</v>
      </c>
      <c r="R65" s="108"/>
      <c r="S65" s="108">
        <f>IF(C15=0,NA(),-5)</f>
        <v>-5</v>
      </c>
      <c r="T65" s="108">
        <f>IF(C15=0,NA(),-5)</f>
        <v>-5</v>
      </c>
      <c r="U65" s="108"/>
      <c r="V65" s="108"/>
      <c r="W65" s="79"/>
      <c r="X65" s="79"/>
      <c r="Y65" s="79"/>
      <c r="Z65" s="79"/>
      <c r="AA65" s="79"/>
      <c r="AB65" s="79"/>
      <c r="AC65" s="79"/>
      <c r="AD65" s="79"/>
      <c r="AE65" s="79"/>
    </row>
    <row r="66" spans="1:31" x14ac:dyDescent="0.25">
      <c r="A66" s="79"/>
      <c r="B66" s="79"/>
      <c r="C66" s="79"/>
      <c r="D66" s="79"/>
      <c r="E66" s="79"/>
      <c r="F66" s="79"/>
      <c r="G66" s="79"/>
      <c r="H66" s="79"/>
      <c r="I66" s="79"/>
      <c r="J66" s="114"/>
      <c r="K66" s="114"/>
      <c r="L66" s="114"/>
      <c r="M66" s="114"/>
      <c r="N66" s="113" t="e">
        <f>IF(C78&gt;0,C78,(NA()))</f>
        <v>#N/A</v>
      </c>
      <c r="O66" s="113" t="e">
        <f>IF(G78&gt;0,G78,(NA()))</f>
        <v>#N/A</v>
      </c>
      <c r="P66" s="108">
        <v>3</v>
      </c>
      <c r="Q66" s="113"/>
      <c r="R66" s="108"/>
      <c r="S66" s="108"/>
      <c r="T66" s="108">
        <f>IF(C15=0,NA(),-5)</f>
        <v>-5</v>
      </c>
      <c r="U66" s="108"/>
      <c r="V66" s="108"/>
      <c r="W66" s="79"/>
      <c r="X66" s="79"/>
      <c r="Y66" s="79"/>
      <c r="Z66" s="79"/>
      <c r="AA66" s="79"/>
      <c r="AB66" s="79"/>
      <c r="AC66" s="79"/>
      <c r="AD66" s="79"/>
      <c r="AE66" s="79"/>
    </row>
    <row r="67" spans="1:31" ht="23.25" x14ac:dyDescent="0.35">
      <c r="A67" s="84" t="str">
        <f>CONCATENATE("Vehicle is travelling at ",ROUND(C76,1), "kph at the Tangent point.")</f>
        <v>Vehicle is travelling at 19.7kph at the Tangent point.</v>
      </c>
      <c r="B67" s="79"/>
      <c r="C67" s="79"/>
      <c r="D67" s="79"/>
      <c r="E67" s="79"/>
      <c r="F67" s="79"/>
      <c r="G67" s="79"/>
      <c r="H67" s="79"/>
      <c r="I67" s="79"/>
      <c r="J67" s="114"/>
      <c r="K67" s="114"/>
      <c r="L67" s="114"/>
      <c r="M67" s="114"/>
      <c r="N67" s="108"/>
      <c r="O67" s="137"/>
      <c r="P67" s="108"/>
      <c r="Q67" s="108"/>
      <c r="R67" s="108"/>
      <c r="S67" s="108"/>
      <c r="T67" s="108"/>
      <c r="U67" s="108"/>
      <c r="V67" s="108"/>
      <c r="W67" s="79"/>
      <c r="X67" s="79"/>
      <c r="Y67" s="79"/>
      <c r="Z67" s="79"/>
      <c r="AA67" s="79"/>
      <c r="AB67" s="79"/>
      <c r="AC67" s="79"/>
      <c r="AD67" s="79"/>
      <c r="AE67" s="79"/>
    </row>
    <row r="68" spans="1:31" s="79" customFormat="1" x14ac:dyDescent="0.25">
      <c r="N68" s="108"/>
      <c r="O68" s="108">
        <f>(2*(((C10^2)/(254*(C8+C18)))/(C10/3.6)))</f>
        <v>4.0494938132733411</v>
      </c>
      <c r="P68" s="108"/>
      <c r="Q68" s="108"/>
      <c r="R68" s="108"/>
      <c r="S68" s="108"/>
      <c r="T68" s="108"/>
      <c r="U68" s="108"/>
      <c r="V68" s="108"/>
    </row>
    <row r="69" spans="1:31" s="79" customFormat="1" x14ac:dyDescent="0.25"/>
    <row r="70" spans="1:31" s="79" customFormat="1" x14ac:dyDescent="0.25"/>
    <row r="71" spans="1:31" s="79" customFormat="1" ht="19.5" thickBot="1" x14ac:dyDescent="0.35">
      <c r="C71" s="172" t="s">
        <v>113</v>
      </c>
      <c r="D71" s="172"/>
      <c r="E71" s="172"/>
      <c r="F71" s="172"/>
      <c r="G71" s="172"/>
      <c r="O71" s="176" t="s">
        <v>114</v>
      </c>
      <c r="P71" s="176"/>
      <c r="Q71" s="176"/>
    </row>
    <row r="72" spans="1:31" s="79" customFormat="1" x14ac:dyDescent="0.25">
      <c r="C72" s="71" t="s">
        <v>115</v>
      </c>
      <c r="D72" s="72" t="s">
        <v>116</v>
      </c>
      <c r="E72" s="72" t="s">
        <v>117</v>
      </c>
      <c r="F72" s="72" t="s">
        <v>118</v>
      </c>
      <c r="G72" s="73" t="s">
        <v>119</v>
      </c>
      <c r="I72" s="86"/>
      <c r="O72" s="130" t="s">
        <v>120</v>
      </c>
      <c r="P72" s="130" t="s">
        <v>121</v>
      </c>
      <c r="Q72" s="130" t="s">
        <v>13</v>
      </c>
    </row>
    <row r="73" spans="1:31" s="79" customFormat="1" x14ac:dyDescent="0.25">
      <c r="A73" s="79" t="s">
        <v>122</v>
      </c>
      <c r="C73" s="77">
        <v>0</v>
      </c>
      <c r="D73" s="68">
        <v>0</v>
      </c>
      <c r="E73" s="69"/>
      <c r="F73" s="69"/>
      <c r="G73" s="81"/>
      <c r="H73" s="89"/>
      <c r="I73" s="86"/>
      <c r="N73" s="79" t="str">
        <f>_xlfn.CONCAT(O73," ",P73)</f>
        <v>Pedestrian 3-5 Year</v>
      </c>
      <c r="O73" s="135" t="s">
        <v>123</v>
      </c>
      <c r="P73" s="128" t="s">
        <v>124</v>
      </c>
      <c r="Q73" s="129">
        <v>1.49</v>
      </c>
    </row>
    <row r="74" spans="1:31" s="79" customFormat="1" x14ac:dyDescent="0.25">
      <c r="A74" s="79" t="s">
        <v>125</v>
      </c>
      <c r="C74" s="173" t="s">
        <v>126</v>
      </c>
      <c r="D74" s="10">
        <f>((C76/$D$108)-(C73/$D$108))/3.6</f>
        <v>1.5907737271472526</v>
      </c>
      <c r="E74" s="68">
        <f>C76^2/(254.188368*($C$8+$C$17))</f>
        <v>4.0000000000000009</v>
      </c>
      <c r="F74" s="68">
        <f>E74-F75</f>
        <v>0</v>
      </c>
      <c r="G74" s="74">
        <f>C73</f>
        <v>0</v>
      </c>
      <c r="H74" s="89"/>
      <c r="I74" s="88"/>
      <c r="N74" s="79" t="str">
        <f t="shared" ref="N74:N92" si="0">_xlfn.CONCAT(O74," ",P74)</f>
        <v>Pedestrian 6-8 Year</v>
      </c>
      <c r="O74" s="135" t="s">
        <v>123</v>
      </c>
      <c r="P74" s="128" t="s">
        <v>127</v>
      </c>
      <c r="Q74" s="129">
        <v>1.61</v>
      </c>
    </row>
    <row r="75" spans="1:31" s="79" customFormat="1" x14ac:dyDescent="0.25">
      <c r="A75" s="79" t="s">
        <v>128</v>
      </c>
      <c r="C75" s="174"/>
      <c r="D75" s="10">
        <f>IF((E75&lt;= 0),0,(E75/(C76/3.6)))</f>
        <v>1.5689161377023333</v>
      </c>
      <c r="E75" s="68">
        <f>$D$111-E74</f>
        <v>8.5663706143591725</v>
      </c>
      <c r="F75" s="68">
        <f>F76-E75</f>
        <v>4</v>
      </c>
      <c r="G75" s="74">
        <f>SUM(D73:D74)</f>
        <v>1.5907737271472526</v>
      </c>
      <c r="H75" s="110" t="s">
        <v>129</v>
      </c>
      <c r="I75" s="86"/>
      <c r="N75" s="79" t="str">
        <f t="shared" si="0"/>
        <v>Pedestrian 9-11 Year</v>
      </c>
      <c r="O75" s="135" t="s">
        <v>123</v>
      </c>
      <c r="P75" s="128" t="s">
        <v>130</v>
      </c>
      <c r="Q75" s="129">
        <v>1.87</v>
      </c>
    </row>
    <row r="76" spans="1:31" s="79" customFormat="1" x14ac:dyDescent="0.25">
      <c r="A76" s="79" t="s">
        <v>131</v>
      </c>
      <c r="C76" s="77">
        <f>IF(($C$12&gt;0),$C$12,IF($D$112^2/(254.188368*($C$8+$C$17))&gt;=D111,IF((D111*D108)&gt;D112,D112,(SQRT(D111*254.188368*C8))),D112))</f>
        <v>19.656203075874039</v>
      </c>
      <c r="D76" s="68"/>
      <c r="E76" s="68">
        <v>0</v>
      </c>
      <c r="F76" s="68">
        <f>$D$111-E76</f>
        <v>12.566370614359172</v>
      </c>
      <c r="G76" s="74">
        <f>SUM(D73:D75)</f>
        <v>3.1596898648495859</v>
      </c>
      <c r="H76" s="108"/>
      <c r="I76" s="86"/>
      <c r="N76" s="79" t="str">
        <f t="shared" si="0"/>
        <v>Pedestrian 12-15 Year</v>
      </c>
      <c r="O76" s="135" t="s">
        <v>123</v>
      </c>
      <c r="P76" s="128" t="s">
        <v>132</v>
      </c>
      <c r="Q76" s="129">
        <v>1.94</v>
      </c>
    </row>
    <row r="77" spans="1:31" s="79" customFormat="1" x14ac:dyDescent="0.25">
      <c r="A77" s="79" t="s">
        <v>133</v>
      </c>
      <c r="C77" s="77">
        <f>IF(((($C$19-D75)*($D$108*3.6)+C76)&lt;=$C$10),(($C$19-D75)*($D$108*3.6)+C76),($C$10))</f>
        <v>37.339217659207819</v>
      </c>
      <c r="D77" s="68">
        <f>IF((C77=$C$10),(((C77-C76)/3.6)/$D$108),($C$19-D75))</f>
        <v>1.4310838622976667</v>
      </c>
      <c r="E77" s="68">
        <f>C77^2/(254.188368*($C$8+$C$18))-E74</f>
        <v>11.671360870474011</v>
      </c>
      <c r="F77" s="68">
        <f>F76+E77</f>
        <v>24.237731484833184</v>
      </c>
      <c r="G77" s="74">
        <f>SUM(D73:D77)</f>
        <v>4.5907737271472531</v>
      </c>
      <c r="H77" s="170" t="s">
        <v>134</v>
      </c>
      <c r="I77" s="170"/>
      <c r="J77" s="170"/>
      <c r="N77" s="79" t="str">
        <f t="shared" si="0"/>
        <v>Pedestrian 16-18+ year</v>
      </c>
      <c r="O77" s="135" t="s">
        <v>123</v>
      </c>
      <c r="P77" s="128" t="s">
        <v>135</v>
      </c>
      <c r="Q77" s="129">
        <v>2.02</v>
      </c>
    </row>
    <row r="78" spans="1:31" s="79" customFormat="1" ht="15.75" thickBot="1" x14ac:dyDescent="0.3">
      <c r="A78" s="79" t="s">
        <v>136</v>
      </c>
      <c r="C78" s="78">
        <f>IF((C77=$C$10),($C$10),(0))</f>
        <v>0</v>
      </c>
      <c r="D78" s="75">
        <f>IF((C78&gt;0),($C$19-(D77+D75)),(0))</f>
        <v>0</v>
      </c>
      <c r="E78" s="75">
        <f>D78*(C78/3.6)</f>
        <v>0</v>
      </c>
      <c r="F78" s="75">
        <f>IF((C78&gt;0),(F77+E78),(0))</f>
        <v>0</v>
      </c>
      <c r="G78" s="76">
        <f>IF((C78&gt;0),(G77+D78),(0))</f>
        <v>0</v>
      </c>
      <c r="H78" s="170"/>
      <c r="I78" s="170"/>
      <c r="J78" s="170"/>
      <c r="N78" s="79" t="str">
        <f t="shared" si="0"/>
        <v>Pedestrian 60-70 year</v>
      </c>
      <c r="O78" s="135" t="s">
        <v>123</v>
      </c>
      <c r="P78" s="128" t="s">
        <v>137</v>
      </c>
      <c r="Q78" s="129">
        <v>1.58</v>
      </c>
    </row>
    <row r="79" spans="1:31" s="79" customFormat="1" x14ac:dyDescent="0.25">
      <c r="C79" s="132">
        <f>IF((((D79-D75)*($D$108*3.6)+C77)&lt;=C10),((D79-D75)*($D$108*3.6)+C77),C10)</f>
        <v>17.9530952425416</v>
      </c>
      <c r="D79" s="132">
        <f>(D112-D12)/D108/3.6</f>
        <v>0</v>
      </c>
      <c r="E79" s="136">
        <f>IF((C79^2/(254.188368*($C$8+$C$18))-F77)&lt;0,0,(C79^2/(254.188368*($C$8+$C$18))-F77))</f>
        <v>0</v>
      </c>
      <c r="F79" s="114"/>
      <c r="G79" s="114"/>
      <c r="H79" s="170"/>
      <c r="I79" s="170"/>
      <c r="J79" s="170"/>
      <c r="N79" s="79" t="str">
        <f t="shared" si="0"/>
        <v>Pedestrian 70-80 year</v>
      </c>
      <c r="O79" s="135" t="s">
        <v>123</v>
      </c>
      <c r="P79" s="128" t="s">
        <v>138</v>
      </c>
      <c r="Q79" s="129">
        <v>1.47</v>
      </c>
    </row>
    <row r="80" spans="1:31" s="79" customFormat="1" ht="23.25" x14ac:dyDescent="0.25">
      <c r="A80" s="83"/>
      <c r="B80" s="83"/>
      <c r="C80" s="113">
        <f>IF((C79=$C$10),($C$10),(0))</f>
        <v>0</v>
      </c>
      <c r="D80" s="108">
        <f>(C77-C79)/D108/3.6+D79</f>
        <v>1.5689161377023333</v>
      </c>
      <c r="E80" s="114">
        <f>D80*(C80/3.6)</f>
        <v>0</v>
      </c>
      <c r="F80" s="114"/>
      <c r="G80" s="114"/>
      <c r="H80" s="170"/>
      <c r="I80" s="170"/>
      <c r="J80" s="170"/>
      <c r="N80" s="79" t="str">
        <f t="shared" si="0"/>
        <v>Pedestrian 80-90 year</v>
      </c>
      <c r="O80" s="135" t="s">
        <v>123</v>
      </c>
      <c r="P80" s="128" t="s">
        <v>139</v>
      </c>
      <c r="Q80" s="129">
        <v>1.1599999999999999</v>
      </c>
    </row>
    <row r="81" spans="1:17" s="79" customFormat="1" x14ac:dyDescent="0.25">
      <c r="E81" s="114">
        <f>SUM((C10*C19)/3.6)+((C10^2)/(254.188368*(C8+C18)))</f>
        <v>69.767311865573419</v>
      </c>
      <c r="N81" s="79" t="str">
        <f t="shared" si="0"/>
        <v>Cyclist Basic</v>
      </c>
      <c r="O81" s="101" t="s">
        <v>140</v>
      </c>
      <c r="P81" s="85" t="s">
        <v>141</v>
      </c>
      <c r="Q81" s="89">
        <v>4.3888888888888893</v>
      </c>
    </row>
    <row r="82" spans="1:17" s="79" customFormat="1" x14ac:dyDescent="0.25">
      <c r="E82" s="114"/>
      <c r="N82" s="79" t="str">
        <f t="shared" si="0"/>
        <v>Cyclist Competent</v>
      </c>
      <c r="O82" s="101" t="s">
        <v>140</v>
      </c>
      <c r="P82" s="85" t="s">
        <v>142</v>
      </c>
      <c r="Q82" s="89">
        <v>5.416666666666667</v>
      </c>
    </row>
    <row r="83" spans="1:17" s="79" customFormat="1" x14ac:dyDescent="0.25">
      <c r="N83" s="79" t="str">
        <f t="shared" si="0"/>
        <v>Cyclist Expert</v>
      </c>
      <c r="O83" s="101" t="s">
        <v>140</v>
      </c>
      <c r="P83" s="85" t="s">
        <v>143</v>
      </c>
      <c r="Q83" s="89">
        <v>7.2222222222222223</v>
      </c>
    </row>
    <row r="84" spans="1:17" s="79" customFormat="1" x14ac:dyDescent="0.25">
      <c r="N84" s="79" t="str">
        <f t="shared" si="0"/>
        <v>Rollersking Basic</v>
      </c>
      <c r="O84" s="101" t="s">
        <v>144</v>
      </c>
      <c r="P84" s="85" t="s">
        <v>141</v>
      </c>
      <c r="Q84" s="89">
        <v>4.4444444444444446</v>
      </c>
    </row>
    <row r="85" spans="1:17" s="79" customFormat="1" x14ac:dyDescent="0.25">
      <c r="N85" s="79" t="str">
        <f t="shared" si="0"/>
        <v>Rollersking Competent</v>
      </c>
      <c r="O85" s="101" t="s">
        <v>144</v>
      </c>
      <c r="P85" s="85" t="s">
        <v>142</v>
      </c>
      <c r="Q85" s="89">
        <v>4.7222222222222223</v>
      </c>
    </row>
    <row r="86" spans="1:17" s="79" customFormat="1" x14ac:dyDescent="0.25">
      <c r="N86" s="79" t="str">
        <f t="shared" si="0"/>
        <v>Rollersking Expert</v>
      </c>
      <c r="O86" s="101" t="s">
        <v>144</v>
      </c>
      <c r="P86" s="85" t="s">
        <v>143</v>
      </c>
      <c r="Q86" s="89">
        <v>5</v>
      </c>
    </row>
    <row r="87" spans="1:17" s="79" customFormat="1" x14ac:dyDescent="0.25">
      <c r="N87" s="79" t="str">
        <f t="shared" si="0"/>
        <v>Rollerblades Basic</v>
      </c>
      <c r="O87" s="101" t="s">
        <v>145</v>
      </c>
      <c r="P87" s="85" t="s">
        <v>141</v>
      </c>
      <c r="Q87" s="89">
        <v>2.7777777777777777</v>
      </c>
    </row>
    <row r="88" spans="1:17" s="79" customFormat="1" x14ac:dyDescent="0.25">
      <c r="F88" s="108">
        <f>(D112-D12)/D108/3.6</f>
        <v>0</v>
      </c>
      <c r="G88" s="108">
        <f>(C77-C79)/D108/3.6+F88</f>
        <v>1.5689161377023333</v>
      </c>
      <c r="N88" s="79" t="str">
        <f t="shared" si="0"/>
        <v>Rollerblades Competent</v>
      </c>
      <c r="O88" s="101" t="s">
        <v>145</v>
      </c>
      <c r="P88" s="85" t="s">
        <v>142</v>
      </c>
      <c r="Q88" s="89">
        <v>3.6111111111111112</v>
      </c>
    </row>
    <row r="89" spans="1:17" s="79" customFormat="1" ht="18.75" x14ac:dyDescent="0.25">
      <c r="C89" s="172" t="s">
        <v>146</v>
      </c>
      <c r="D89" s="172"/>
      <c r="E89" s="172"/>
      <c r="F89" s="172"/>
      <c r="G89" s="172"/>
      <c r="N89" s="79" t="str">
        <f t="shared" si="0"/>
        <v>Rollerblades Expert</v>
      </c>
      <c r="O89" s="101" t="s">
        <v>145</v>
      </c>
      <c r="P89" s="85" t="s">
        <v>143</v>
      </c>
      <c r="Q89" s="89">
        <v>4.4444444444444446</v>
      </c>
    </row>
    <row r="90" spans="1:17" s="79" customFormat="1" x14ac:dyDescent="0.25">
      <c r="C90" s="94" t="s">
        <v>115</v>
      </c>
      <c r="D90" s="94" t="s">
        <v>116</v>
      </c>
      <c r="E90" s="94" t="s">
        <v>117</v>
      </c>
      <c r="F90" s="94" t="s">
        <v>147</v>
      </c>
      <c r="G90" s="94" t="s">
        <v>119</v>
      </c>
      <c r="N90" s="79" t="str">
        <f t="shared" si="0"/>
        <v>Jogger Basic</v>
      </c>
      <c r="O90" s="101" t="s">
        <v>148</v>
      </c>
      <c r="P90" s="85" t="s">
        <v>141</v>
      </c>
      <c r="Q90" s="89">
        <v>2.7777777777777777</v>
      </c>
    </row>
    <row r="91" spans="1:17" s="79" customFormat="1" x14ac:dyDescent="0.25">
      <c r="A91" s="79" t="s">
        <v>122</v>
      </c>
      <c r="C91" s="69">
        <v>0</v>
      </c>
      <c r="D91" s="69">
        <v>0</v>
      </c>
      <c r="E91" s="69"/>
      <c r="F91" s="69"/>
      <c r="N91" s="79" t="str">
        <f t="shared" si="0"/>
        <v>Jogger Competent</v>
      </c>
      <c r="O91" s="101" t="s">
        <v>148</v>
      </c>
      <c r="P91" s="85" t="s">
        <v>142</v>
      </c>
      <c r="Q91" s="89">
        <v>3.333333333333333</v>
      </c>
    </row>
    <row r="92" spans="1:17" s="79" customFormat="1" ht="16.5" customHeight="1" x14ac:dyDescent="0.25">
      <c r="A92" s="79" t="s">
        <v>125</v>
      </c>
      <c r="C92" s="106" t="s">
        <v>126</v>
      </c>
      <c r="D92" s="95">
        <f>((C94/E108)-(C91/E108))/3.6</f>
        <v>1.3150812511820578</v>
      </c>
      <c r="E92" s="69">
        <f>C94^2/(254.188368*($D$8+$C$17))</f>
        <v>4</v>
      </c>
      <c r="F92" s="69">
        <f>E92-F93</f>
        <v>0</v>
      </c>
      <c r="G92" s="69">
        <f>C91</f>
        <v>0</v>
      </c>
      <c r="N92" s="79" t="str">
        <f t="shared" si="0"/>
        <v>Jogger Expert</v>
      </c>
      <c r="O92" s="101" t="s">
        <v>148</v>
      </c>
      <c r="P92" s="85" t="s">
        <v>143</v>
      </c>
      <c r="Q92" s="89">
        <v>3.8888888888888888</v>
      </c>
    </row>
    <row r="93" spans="1:17" s="79" customFormat="1" ht="16.5" customHeight="1" x14ac:dyDescent="0.25">
      <c r="A93" s="79" t="s">
        <v>128</v>
      </c>
      <c r="C93" s="107"/>
      <c r="D93" s="95">
        <f>IF((E93&lt;= 0),0,(E93/(C94/3.6)))</f>
        <v>1.3284756350967775</v>
      </c>
      <c r="E93" s="69">
        <f>$E$111-E92</f>
        <v>8.5663706143591725</v>
      </c>
      <c r="F93" s="69">
        <f>F94-E93</f>
        <v>4</v>
      </c>
      <c r="G93" s="69">
        <f>SUM(D91:D92)</f>
        <v>1.3150812511820578</v>
      </c>
    </row>
    <row r="94" spans="1:17" s="79" customFormat="1" x14ac:dyDescent="0.25">
      <c r="A94" s="79" t="s">
        <v>131</v>
      </c>
      <c r="C94" s="69">
        <f>IF(($C$12&gt;0),$C$12,IF($D$112^2/(254.188368*($D$8+$C$17))&gt;=D111,IF((D111*D108)&gt;D112,D112,(SQRT(D111*254.188368*D8))),E112))</f>
        <v>23.213774793428147</v>
      </c>
      <c r="D94" s="69"/>
      <c r="E94" s="69">
        <v>0</v>
      </c>
      <c r="F94" s="69">
        <f>$E$111-E94</f>
        <v>12.566370614359172</v>
      </c>
      <c r="G94" s="69">
        <f>SUM(D91:D93)</f>
        <v>2.6435568862788354</v>
      </c>
    </row>
    <row r="95" spans="1:17" s="79" customFormat="1" x14ac:dyDescent="0.25">
      <c r="A95" s="79" t="s">
        <v>133</v>
      </c>
      <c r="C95" s="69">
        <f>IF(((($C$19-D93)*($E$108*3.6)+C94)&lt;=$C$10),(($C$19-D93)*($E$108*3.6)+C94),($C$10))</f>
        <v>50</v>
      </c>
      <c r="D95" s="69">
        <f>IF((C95=$C$10),(((C95-C94)/3.6)/E108),($C$19-D93))</f>
        <v>1.517463784867743</v>
      </c>
      <c r="E95" s="69">
        <f>C95^2/(254.188368*($D$8+$C$18))-E92</f>
        <v>15.670451639234727</v>
      </c>
      <c r="F95" s="69">
        <f>F94+E95</f>
        <v>28.2368222535939</v>
      </c>
      <c r="G95" s="69">
        <f>SUM(D91:D95)</f>
        <v>4.1610206711465789</v>
      </c>
    </row>
    <row r="96" spans="1:17" s="79" customFormat="1" x14ac:dyDescent="0.25">
      <c r="A96" s="79" t="s">
        <v>136</v>
      </c>
      <c r="C96" s="96">
        <f>IF((C95=$C$10),($C$10),(0))</f>
        <v>50</v>
      </c>
      <c r="D96" s="96">
        <f>IF((C96&gt;0),($C$19-(D95+D93)),(0))</f>
        <v>0.15406058003547951</v>
      </c>
      <c r="E96" s="96">
        <f>D96*(C96/3.6)</f>
        <v>2.139730278270549</v>
      </c>
      <c r="F96" s="96">
        <f>IF((C96&gt;0),(F95+E96),(0))</f>
        <v>30.376552531864448</v>
      </c>
      <c r="G96" s="96">
        <f>IF((C96&gt;0),(G95+D96),(0))</f>
        <v>4.3150812511820584</v>
      </c>
    </row>
    <row r="97" spans="1:6" s="79" customFormat="1" x14ac:dyDescent="0.25">
      <c r="A97" s="79" t="s">
        <v>149</v>
      </c>
      <c r="C97" s="97"/>
      <c r="D97" s="133">
        <f>F97/(MAX(C94:C96)/3.6)</f>
        <v>0.44199511538625103</v>
      </c>
      <c r="F97" s="133">
        <f>MAX(F95:F96)-MAX(F77:F78)</f>
        <v>6.1388210470312643</v>
      </c>
    </row>
    <row r="98" spans="1:6" s="79" customFormat="1" x14ac:dyDescent="0.25"/>
    <row r="99" spans="1:6" s="79" customFormat="1" x14ac:dyDescent="0.25"/>
    <row r="100" spans="1:6" s="79" customFormat="1" x14ac:dyDescent="0.25"/>
    <row r="101" spans="1:6" s="79" customFormat="1" x14ac:dyDescent="0.25"/>
    <row r="102" spans="1:6" s="79" customFormat="1" x14ac:dyDescent="0.25">
      <c r="B102" s="109"/>
      <c r="C102" s="109"/>
    </row>
    <row r="103" spans="1:6" s="79" customFormat="1" x14ac:dyDescent="0.25">
      <c r="C103" s="79" t="s">
        <v>150</v>
      </c>
      <c r="D103" s="87">
        <v>9.8066499999999994</v>
      </c>
    </row>
    <row r="104" spans="1:6" s="79" customFormat="1" x14ac:dyDescent="0.25"/>
    <row r="105" spans="1:6" s="79" customFormat="1" x14ac:dyDescent="0.25"/>
    <row r="106" spans="1:6" s="79" customFormat="1" x14ac:dyDescent="0.25">
      <c r="C106" s="79" t="s">
        <v>151</v>
      </c>
      <c r="D106" s="92">
        <f>$C$10/3.6</f>
        <v>13.888888888888889</v>
      </c>
      <c r="E106" s="92"/>
    </row>
    <row r="107" spans="1:6" s="79" customFormat="1" x14ac:dyDescent="0.25">
      <c r="C107" s="79" t="s">
        <v>152</v>
      </c>
      <c r="D107" s="92">
        <f>$C$11/3.6</f>
        <v>0</v>
      </c>
      <c r="E107" s="92"/>
    </row>
    <row r="108" spans="1:6" s="79" customFormat="1" x14ac:dyDescent="0.25">
      <c r="C108" s="79" t="s">
        <v>44</v>
      </c>
      <c r="D108" s="93">
        <f>$C$8*$D$103</f>
        <v>3.4323274999999995</v>
      </c>
      <c r="E108" s="93">
        <f>$D$8*$D$103</f>
        <v>4.9033249999999997</v>
      </c>
    </row>
    <row r="109" spans="1:6" s="79" customFormat="1" x14ac:dyDescent="0.25">
      <c r="D109" s="89"/>
      <c r="E109" s="89"/>
    </row>
    <row r="110" spans="1:6" s="79" customFormat="1" x14ac:dyDescent="0.25">
      <c r="C110" s="79" t="s">
        <v>116</v>
      </c>
      <c r="D110" s="90">
        <f>($D$106-$D$107)/$D$108</f>
        <v>4.0464929086425734</v>
      </c>
      <c r="E110" s="90">
        <f>($D$106-$D$107)/$E$108</f>
        <v>2.832545036049801</v>
      </c>
    </row>
    <row r="111" spans="1:6" s="79" customFormat="1" x14ac:dyDescent="0.25">
      <c r="C111" s="79" t="s">
        <v>153</v>
      </c>
      <c r="D111" s="91">
        <f>2*PI()*$C$15*($C$16/360)</f>
        <v>12.566370614359172</v>
      </c>
      <c r="E111" s="91">
        <f>2*PI()*$C$15*($C$16/360)</f>
        <v>12.566370614359172</v>
      </c>
    </row>
    <row r="112" spans="1:6" s="79" customFormat="1" x14ac:dyDescent="0.25">
      <c r="C112" s="79" t="s">
        <v>154</v>
      </c>
      <c r="D112" s="70">
        <f>(SQRT($C$15*(127.094184*(($C$8+($C$17))))))</f>
        <v>19.656203075874039</v>
      </c>
      <c r="E112" s="70">
        <f>(SQRT($C$15*(127.094184*(($D$8+($C$17))))))</f>
        <v>23.213774793428147</v>
      </c>
    </row>
    <row r="113" s="79" customFormat="1" x14ac:dyDescent="0.25"/>
    <row r="114" s="79" customFormat="1" x14ac:dyDescent="0.25"/>
    <row r="115" s="79" customFormat="1" x14ac:dyDescent="0.25"/>
    <row r="116" s="79" customFormat="1" x14ac:dyDescent="0.25"/>
    <row r="117" s="79" customFormat="1" x14ac:dyDescent="0.25"/>
    <row r="118" s="79" customFormat="1" x14ac:dyDescent="0.25"/>
    <row r="119" s="79" customFormat="1" x14ac:dyDescent="0.25"/>
    <row r="120" s="79" customFormat="1" x14ac:dyDescent="0.25"/>
    <row r="121" s="79" customFormat="1" x14ac:dyDescent="0.25"/>
    <row r="122" s="79" customFormat="1" x14ac:dyDescent="0.25"/>
    <row r="123" s="79" customFormat="1" x14ac:dyDescent="0.25"/>
    <row r="124" s="79" customFormat="1" x14ac:dyDescent="0.25"/>
    <row r="125" s="79" customFormat="1" x14ac:dyDescent="0.25"/>
    <row r="126" s="79" customFormat="1" x14ac:dyDescent="0.25"/>
    <row r="127" s="79" customFormat="1" x14ac:dyDescent="0.25"/>
    <row r="128" s="79" customFormat="1" x14ac:dyDescent="0.25"/>
    <row r="129" s="79" customFormat="1" x14ac:dyDescent="0.25"/>
    <row r="130" s="79" customFormat="1" x14ac:dyDescent="0.25"/>
    <row r="131" s="79" customFormat="1" x14ac:dyDescent="0.25"/>
    <row r="132" s="79" customFormat="1" x14ac:dyDescent="0.25"/>
    <row r="133" s="79" customFormat="1" x14ac:dyDescent="0.25"/>
    <row r="134" s="79" customFormat="1" x14ac:dyDescent="0.25"/>
    <row r="135" s="79" customFormat="1" x14ac:dyDescent="0.25"/>
    <row r="136" s="79" customFormat="1" x14ac:dyDescent="0.25"/>
    <row r="137" s="79" customFormat="1" x14ac:dyDescent="0.25"/>
    <row r="138" s="79" customFormat="1" x14ac:dyDescent="0.25"/>
    <row r="139" s="79" customFormat="1" x14ac:dyDescent="0.25"/>
    <row r="140" s="79" customFormat="1" x14ac:dyDescent="0.25"/>
    <row r="141" s="79" customFormat="1" x14ac:dyDescent="0.25"/>
    <row r="142" s="79" customFormat="1" x14ac:dyDescent="0.25"/>
    <row r="143" s="79" customFormat="1" x14ac:dyDescent="0.25"/>
    <row r="144" s="79" customFormat="1" x14ac:dyDescent="0.25"/>
    <row r="145" s="79" customFormat="1" x14ac:dyDescent="0.25"/>
    <row r="146" s="79" customFormat="1" x14ac:dyDescent="0.25"/>
    <row r="147" s="79" customFormat="1" x14ac:dyDescent="0.25"/>
    <row r="148" s="79" customFormat="1" x14ac:dyDescent="0.25"/>
    <row r="149" s="79" customFormat="1" x14ac:dyDescent="0.25"/>
    <row r="150" s="79" customFormat="1" x14ac:dyDescent="0.25"/>
    <row r="151" s="79" customFormat="1" x14ac:dyDescent="0.25"/>
    <row r="152" s="79" customFormat="1" x14ac:dyDescent="0.25"/>
    <row r="153" s="79" customFormat="1" x14ac:dyDescent="0.25"/>
    <row r="154" s="79" customFormat="1" x14ac:dyDescent="0.25"/>
    <row r="155" s="79" customFormat="1" x14ac:dyDescent="0.25"/>
    <row r="156" s="79" customFormat="1" x14ac:dyDescent="0.25"/>
    <row r="157" s="79" customFormat="1" x14ac:dyDescent="0.25"/>
    <row r="158" s="79" customFormat="1" x14ac:dyDescent="0.25"/>
    <row r="159" s="79" customFormat="1" x14ac:dyDescent="0.25"/>
    <row r="160" s="79" customFormat="1" x14ac:dyDescent="0.25"/>
    <row r="161" s="79" customFormat="1" x14ac:dyDescent="0.25"/>
    <row r="162" s="79" customFormat="1" x14ac:dyDescent="0.25"/>
    <row r="163" s="79" customFormat="1" x14ac:dyDescent="0.25"/>
    <row r="164" s="79" customFormat="1" x14ac:dyDescent="0.25"/>
    <row r="165" s="79" customFormat="1" x14ac:dyDescent="0.25"/>
    <row r="166" s="79" customFormat="1" x14ac:dyDescent="0.25"/>
    <row r="167" s="79" customFormat="1" x14ac:dyDescent="0.25"/>
    <row r="168" s="79" customFormat="1" x14ac:dyDescent="0.25"/>
    <row r="169" s="79" customFormat="1" x14ac:dyDescent="0.25"/>
    <row r="170" s="79" customFormat="1" x14ac:dyDescent="0.25"/>
    <row r="171" s="79" customFormat="1" x14ac:dyDescent="0.25"/>
    <row r="172" s="79" customFormat="1" x14ac:dyDescent="0.25"/>
    <row r="173" s="79" customFormat="1" x14ac:dyDescent="0.25"/>
    <row r="174" s="79" customFormat="1" x14ac:dyDescent="0.25"/>
    <row r="175" s="79" customFormat="1" x14ac:dyDescent="0.25"/>
    <row r="176" s="79" customFormat="1" x14ac:dyDescent="0.25"/>
    <row r="177" s="79" customFormat="1" x14ac:dyDescent="0.25"/>
    <row r="178" s="79" customFormat="1" x14ac:dyDescent="0.25"/>
    <row r="179" s="79" customFormat="1" x14ac:dyDescent="0.25"/>
    <row r="180" s="79" customFormat="1" x14ac:dyDescent="0.25"/>
    <row r="181" s="79" customFormat="1" x14ac:dyDescent="0.25"/>
    <row r="182" s="79" customFormat="1" x14ac:dyDescent="0.25"/>
    <row r="183" s="79" customFormat="1" x14ac:dyDescent="0.25"/>
    <row r="184" s="79" customFormat="1" x14ac:dyDescent="0.25"/>
    <row r="185" s="79" customFormat="1" x14ac:dyDescent="0.25"/>
    <row r="186" s="79" customFormat="1" x14ac:dyDescent="0.25"/>
    <row r="187" s="79" customFormat="1" x14ac:dyDescent="0.25"/>
    <row r="188" s="79" customFormat="1" x14ac:dyDescent="0.25"/>
    <row r="189" s="79" customFormat="1" x14ac:dyDescent="0.25"/>
    <row r="190" s="79" customFormat="1" x14ac:dyDescent="0.25"/>
    <row r="191" s="79" customFormat="1" x14ac:dyDescent="0.25"/>
    <row r="192" s="79" customFormat="1" x14ac:dyDescent="0.25"/>
    <row r="193" s="79" customFormat="1" x14ac:dyDescent="0.25"/>
    <row r="194" s="79" customFormat="1" x14ac:dyDescent="0.25"/>
    <row r="195" s="79" customFormat="1" x14ac:dyDescent="0.25"/>
    <row r="196" s="79" customFormat="1" x14ac:dyDescent="0.25"/>
    <row r="197" s="79" customFormat="1" x14ac:dyDescent="0.25"/>
    <row r="198" s="79" customFormat="1" x14ac:dyDescent="0.25"/>
    <row r="199" s="79" customFormat="1" x14ac:dyDescent="0.25"/>
    <row r="200" s="79" customFormat="1" x14ac:dyDescent="0.25"/>
    <row r="201" s="79" customFormat="1" x14ac:dyDescent="0.25"/>
    <row r="202" s="79" customFormat="1" x14ac:dyDescent="0.25"/>
    <row r="203" s="79" customFormat="1" x14ac:dyDescent="0.25"/>
    <row r="204" s="79" customFormat="1" x14ac:dyDescent="0.25"/>
    <row r="205" s="79" customFormat="1" x14ac:dyDescent="0.25"/>
    <row r="206" s="79" customFormat="1" x14ac:dyDescent="0.25"/>
    <row r="207" s="79" customFormat="1" x14ac:dyDescent="0.25"/>
    <row r="208" s="79" customFormat="1" x14ac:dyDescent="0.25"/>
    <row r="209" s="79" customFormat="1" x14ac:dyDescent="0.25"/>
    <row r="210" s="79" customFormat="1" x14ac:dyDescent="0.25"/>
    <row r="211" s="79" customFormat="1" x14ac:dyDescent="0.25"/>
    <row r="212" s="79" customFormat="1" x14ac:dyDescent="0.25"/>
    <row r="213" s="79" customFormat="1" x14ac:dyDescent="0.25"/>
    <row r="214" s="79" customFormat="1" x14ac:dyDescent="0.25"/>
    <row r="215" s="79" customFormat="1" x14ac:dyDescent="0.25"/>
    <row r="216" s="79" customFormat="1" x14ac:dyDescent="0.25"/>
    <row r="217" s="79" customFormat="1" x14ac:dyDescent="0.25"/>
    <row r="218" s="79" customFormat="1" x14ac:dyDescent="0.25"/>
    <row r="219" s="79" customFormat="1" x14ac:dyDescent="0.25"/>
    <row r="220" s="79" customFormat="1" x14ac:dyDescent="0.25"/>
    <row r="221" s="79" customFormat="1" x14ac:dyDescent="0.25"/>
    <row r="222" s="79" customFormat="1" x14ac:dyDescent="0.25"/>
    <row r="223" s="79" customFormat="1" x14ac:dyDescent="0.25"/>
    <row r="224" s="79" customFormat="1" x14ac:dyDescent="0.25"/>
    <row r="225" s="79" customFormat="1" x14ac:dyDescent="0.25"/>
    <row r="226" s="79" customFormat="1" x14ac:dyDescent="0.25"/>
    <row r="227" s="79" customFormat="1" x14ac:dyDescent="0.25"/>
    <row r="228" s="79" customFormat="1" x14ac:dyDescent="0.25"/>
    <row r="229" s="79" customFormat="1" x14ac:dyDescent="0.25"/>
    <row r="230" s="79" customFormat="1" x14ac:dyDescent="0.25"/>
    <row r="231" s="79" customFormat="1" x14ac:dyDescent="0.25"/>
    <row r="232" s="79" customFormat="1" x14ac:dyDescent="0.25"/>
    <row r="233" s="79" customFormat="1" x14ac:dyDescent="0.25"/>
    <row r="234" s="79" customFormat="1" x14ac:dyDescent="0.25"/>
    <row r="235" s="79" customFormat="1" x14ac:dyDescent="0.25"/>
    <row r="236" s="79" customFormat="1" x14ac:dyDescent="0.25"/>
    <row r="237" s="79" customFormat="1" x14ac:dyDescent="0.25"/>
    <row r="238" s="79" customFormat="1" x14ac:dyDescent="0.25"/>
    <row r="239" s="79" customFormat="1" x14ac:dyDescent="0.25"/>
    <row r="240" s="79" customFormat="1" x14ac:dyDescent="0.25"/>
    <row r="241" s="79" customFormat="1" x14ac:dyDescent="0.25"/>
    <row r="242" s="79" customFormat="1" x14ac:dyDescent="0.25"/>
    <row r="243" s="79" customFormat="1" x14ac:dyDescent="0.25"/>
    <row r="244" s="79" customFormat="1" x14ac:dyDescent="0.25"/>
    <row r="245" s="79" customFormat="1" x14ac:dyDescent="0.25"/>
    <row r="246" s="79" customFormat="1" x14ac:dyDescent="0.25"/>
    <row r="247" s="79" customFormat="1" x14ac:dyDescent="0.25"/>
    <row r="248" s="79" customFormat="1" x14ac:dyDescent="0.25"/>
    <row r="249" s="79" customFormat="1" x14ac:dyDescent="0.25"/>
    <row r="250" s="79" customFormat="1" x14ac:dyDescent="0.25"/>
    <row r="251" s="79" customFormat="1" x14ac:dyDescent="0.25"/>
    <row r="252" s="79" customFormat="1" x14ac:dyDescent="0.25"/>
    <row r="253" s="79" customFormat="1" x14ac:dyDescent="0.25"/>
    <row r="254" s="79" customFormat="1" x14ac:dyDescent="0.25"/>
    <row r="255" s="79" customFormat="1" x14ac:dyDescent="0.25"/>
    <row r="256" s="79" customFormat="1" x14ac:dyDescent="0.25"/>
    <row r="257" s="79" customFormat="1" x14ac:dyDescent="0.25"/>
    <row r="258" s="79" customFormat="1" x14ac:dyDescent="0.25"/>
    <row r="259" s="79" customFormat="1" x14ac:dyDescent="0.25"/>
    <row r="260" s="79" customFormat="1" x14ac:dyDescent="0.25"/>
    <row r="261" s="79" customFormat="1" x14ac:dyDescent="0.25"/>
    <row r="262" s="79" customFormat="1" x14ac:dyDescent="0.25"/>
    <row r="263" s="79" customFormat="1" x14ac:dyDescent="0.25"/>
    <row r="264" s="79" customFormat="1" x14ac:dyDescent="0.25"/>
    <row r="265" s="79" customFormat="1" x14ac:dyDescent="0.25"/>
    <row r="266" s="79" customFormat="1" x14ac:dyDescent="0.25"/>
    <row r="267" s="79" customFormat="1" x14ac:dyDescent="0.25"/>
    <row r="268" s="79" customFormat="1" x14ac:dyDescent="0.25"/>
    <row r="269" s="79" customFormat="1" x14ac:dyDescent="0.25"/>
    <row r="270" s="79" customFormat="1" x14ac:dyDescent="0.25"/>
    <row r="271" s="79" customFormat="1" x14ac:dyDescent="0.25"/>
    <row r="272" s="79" customFormat="1" x14ac:dyDescent="0.25"/>
    <row r="273" s="79" customFormat="1" x14ac:dyDescent="0.25"/>
    <row r="274" s="79" customFormat="1" x14ac:dyDescent="0.25"/>
    <row r="275" s="79" customFormat="1" x14ac:dyDescent="0.25"/>
    <row r="276" s="79" customFormat="1" x14ac:dyDescent="0.25"/>
    <row r="277" s="79" customFormat="1" x14ac:dyDescent="0.25"/>
    <row r="278" s="79" customFormat="1" x14ac:dyDescent="0.25"/>
    <row r="279" s="79" customFormat="1" x14ac:dyDescent="0.25"/>
    <row r="280" s="79" customFormat="1" x14ac:dyDescent="0.25"/>
    <row r="281" s="79" customFormat="1" x14ac:dyDescent="0.25"/>
    <row r="282" s="79" customFormat="1" x14ac:dyDescent="0.25"/>
    <row r="283" s="79" customFormat="1" x14ac:dyDescent="0.25"/>
    <row r="284" s="79" customFormat="1" x14ac:dyDescent="0.25"/>
    <row r="285" s="79" customFormat="1" x14ac:dyDescent="0.25"/>
    <row r="286" s="79" customFormat="1" x14ac:dyDescent="0.25"/>
    <row r="287" s="79" customFormat="1" x14ac:dyDescent="0.25"/>
    <row r="288" s="79" customFormat="1" x14ac:dyDescent="0.25"/>
    <row r="289" s="79" customFormat="1" x14ac:dyDescent="0.25"/>
    <row r="290" s="79" customFormat="1" x14ac:dyDescent="0.25"/>
    <row r="291" s="79" customFormat="1" x14ac:dyDescent="0.25"/>
    <row r="292" s="79" customFormat="1" x14ac:dyDescent="0.25"/>
    <row r="293" s="79" customFormat="1" x14ac:dyDescent="0.25"/>
    <row r="294" s="79" customFormat="1" x14ac:dyDescent="0.25"/>
    <row r="295" s="79" customFormat="1" x14ac:dyDescent="0.25"/>
    <row r="296" s="79" customFormat="1" x14ac:dyDescent="0.25"/>
    <row r="297" s="79" customFormat="1" x14ac:dyDescent="0.25"/>
    <row r="298" s="79" customFormat="1" x14ac:dyDescent="0.25"/>
    <row r="299" s="79" customFormat="1" x14ac:dyDescent="0.25"/>
    <row r="300" s="79" customFormat="1" x14ac:dyDescent="0.25"/>
    <row r="301" s="79" customFormat="1" x14ac:dyDescent="0.25"/>
    <row r="302" s="79" customFormat="1" x14ac:dyDescent="0.25"/>
    <row r="303" s="79" customFormat="1" x14ac:dyDescent="0.25"/>
    <row r="304" s="79" customFormat="1" x14ac:dyDescent="0.25"/>
    <row r="305" s="79" customFormat="1" x14ac:dyDescent="0.25"/>
    <row r="306" s="79" customFormat="1" x14ac:dyDescent="0.25"/>
    <row r="307" s="79" customFormat="1" x14ac:dyDescent="0.25"/>
    <row r="308" s="79" customFormat="1" x14ac:dyDescent="0.25"/>
    <row r="309" s="79" customFormat="1" x14ac:dyDescent="0.25"/>
    <row r="310" s="79" customFormat="1" x14ac:dyDescent="0.25"/>
    <row r="311" s="79" customFormat="1" x14ac:dyDescent="0.25"/>
    <row r="312" s="79" customFormat="1" x14ac:dyDescent="0.25"/>
    <row r="313" s="79" customFormat="1" x14ac:dyDescent="0.25"/>
    <row r="314" s="79" customFormat="1" x14ac:dyDescent="0.25"/>
    <row r="315" s="79" customFormat="1" x14ac:dyDescent="0.25"/>
    <row r="316" s="79" customFormat="1" x14ac:dyDescent="0.25"/>
    <row r="317" s="79" customFormat="1" x14ac:dyDescent="0.25"/>
    <row r="318" s="79" customFormat="1" x14ac:dyDescent="0.25"/>
    <row r="319" s="79" customFormat="1" x14ac:dyDescent="0.25"/>
    <row r="320" s="79" customFormat="1" x14ac:dyDescent="0.25"/>
    <row r="321" s="79" customFormat="1" x14ac:dyDescent="0.25"/>
    <row r="322" s="79" customFormat="1" x14ac:dyDescent="0.25"/>
    <row r="323" s="79" customFormat="1" x14ac:dyDescent="0.25"/>
    <row r="324" s="79" customFormat="1" x14ac:dyDescent="0.25"/>
    <row r="325" s="79" customFormat="1" x14ac:dyDescent="0.25"/>
    <row r="326" s="79" customFormat="1" x14ac:dyDescent="0.25"/>
    <row r="327" s="79" customFormat="1" x14ac:dyDescent="0.25"/>
    <row r="328" s="79" customFormat="1" x14ac:dyDescent="0.25"/>
    <row r="329" s="79" customFormat="1" x14ac:dyDescent="0.25"/>
    <row r="330" s="79" customFormat="1" x14ac:dyDescent="0.25"/>
    <row r="331" s="79" customFormat="1" x14ac:dyDescent="0.25"/>
    <row r="332" s="79" customFormat="1" x14ac:dyDescent="0.25"/>
    <row r="333" s="79" customFormat="1" x14ac:dyDescent="0.25"/>
    <row r="334" s="79" customFormat="1" x14ac:dyDescent="0.25"/>
    <row r="335" s="79" customFormat="1" x14ac:dyDescent="0.25"/>
    <row r="336" s="79" customFormat="1" x14ac:dyDescent="0.25"/>
    <row r="337" s="79" customFormat="1" x14ac:dyDescent="0.25"/>
    <row r="338" s="79" customFormat="1" x14ac:dyDescent="0.25"/>
    <row r="339" s="79" customFormat="1" x14ac:dyDescent="0.25"/>
    <row r="340" s="79" customFormat="1" x14ac:dyDescent="0.25"/>
    <row r="341" s="79" customFormat="1" x14ac:dyDescent="0.25"/>
    <row r="342" s="79" customFormat="1" x14ac:dyDescent="0.25"/>
    <row r="343" s="79" customFormat="1" x14ac:dyDescent="0.25"/>
    <row r="344" s="79" customFormat="1" x14ac:dyDescent="0.25"/>
    <row r="345" s="79" customFormat="1" x14ac:dyDescent="0.25"/>
    <row r="346" s="79" customFormat="1" x14ac:dyDescent="0.25"/>
    <row r="347" s="79" customFormat="1" x14ac:dyDescent="0.25"/>
    <row r="348" s="79" customFormat="1" x14ac:dyDescent="0.25"/>
    <row r="349" s="79" customFormat="1" x14ac:dyDescent="0.25"/>
    <row r="350" s="79" customFormat="1" x14ac:dyDescent="0.25"/>
    <row r="351" s="79" customFormat="1" x14ac:dyDescent="0.25"/>
    <row r="352" s="79" customFormat="1" x14ac:dyDescent="0.25"/>
    <row r="353" s="79" customFormat="1" x14ac:dyDescent="0.25"/>
    <row r="354" s="79" customFormat="1" x14ac:dyDescent="0.25"/>
    <row r="355" s="79" customFormat="1" x14ac:dyDescent="0.25"/>
    <row r="356" s="79" customFormat="1" x14ac:dyDescent="0.25"/>
    <row r="357" s="79" customFormat="1" x14ac:dyDescent="0.25"/>
    <row r="358" s="79" customFormat="1" x14ac:dyDescent="0.25"/>
    <row r="359" s="79" customFormat="1" x14ac:dyDescent="0.25"/>
    <row r="360" s="79" customFormat="1" x14ac:dyDescent="0.25"/>
    <row r="361" s="79" customFormat="1" x14ac:dyDescent="0.25"/>
    <row r="362" s="79" customFormat="1" x14ac:dyDescent="0.25"/>
    <row r="363" s="79" customFormat="1" x14ac:dyDescent="0.25"/>
    <row r="364" s="79" customFormat="1" x14ac:dyDescent="0.25"/>
    <row r="365" s="79" customFormat="1" x14ac:dyDescent="0.25"/>
    <row r="366" s="79" customFormat="1" x14ac:dyDescent="0.25"/>
    <row r="367" s="79" customFormat="1" x14ac:dyDescent="0.25"/>
    <row r="368" s="79" customFormat="1" x14ac:dyDescent="0.25"/>
    <row r="369" s="79" customFormat="1" x14ac:dyDescent="0.25"/>
    <row r="370" s="79" customFormat="1" x14ac:dyDescent="0.25"/>
    <row r="371" s="79" customFormat="1" x14ac:dyDescent="0.25"/>
    <row r="372" s="79" customFormat="1" x14ac:dyDescent="0.25"/>
    <row r="373" s="79" customFormat="1" x14ac:dyDescent="0.25"/>
    <row r="374" s="79" customFormat="1" x14ac:dyDescent="0.25"/>
    <row r="375" s="79" customFormat="1" x14ac:dyDescent="0.25"/>
    <row r="376" s="79" customFormat="1" x14ac:dyDescent="0.25"/>
    <row r="377" s="79" customFormat="1" x14ac:dyDescent="0.25"/>
    <row r="378" s="79" customFormat="1" x14ac:dyDescent="0.25"/>
    <row r="379" s="79" customFormat="1" x14ac:dyDescent="0.25"/>
    <row r="380" s="79" customFormat="1" x14ac:dyDescent="0.25"/>
    <row r="381" s="79" customFormat="1" x14ac:dyDescent="0.25"/>
    <row r="382" s="79" customFormat="1" x14ac:dyDescent="0.25"/>
    <row r="383" s="79" customFormat="1" x14ac:dyDescent="0.25"/>
    <row r="384" s="79" customFormat="1" x14ac:dyDescent="0.25"/>
    <row r="385" s="79" customFormat="1" x14ac:dyDescent="0.25"/>
    <row r="386" s="79" customFormat="1" x14ac:dyDescent="0.25"/>
    <row r="387" s="79" customFormat="1" x14ac:dyDescent="0.25"/>
    <row r="388" s="79" customFormat="1" x14ac:dyDescent="0.25"/>
    <row r="389" s="79" customFormat="1" x14ac:dyDescent="0.25"/>
    <row r="390" s="79" customFormat="1" x14ac:dyDescent="0.25"/>
    <row r="391" s="79" customFormat="1" x14ac:dyDescent="0.25"/>
    <row r="392" s="79" customFormat="1" x14ac:dyDescent="0.25"/>
    <row r="393" s="79" customFormat="1" x14ac:dyDescent="0.25"/>
    <row r="394" s="79" customFormat="1" x14ac:dyDescent="0.25"/>
    <row r="395" s="79" customFormat="1" x14ac:dyDescent="0.25"/>
    <row r="396" s="79" customFormat="1" x14ac:dyDescent="0.25"/>
    <row r="397" s="79" customFormat="1" x14ac:dyDescent="0.25"/>
    <row r="398" s="79" customFormat="1" x14ac:dyDescent="0.25"/>
    <row r="399" s="79" customFormat="1" x14ac:dyDescent="0.25"/>
    <row r="400" s="79" customFormat="1" x14ac:dyDescent="0.25"/>
    <row r="401" s="79" customFormat="1" x14ac:dyDescent="0.25"/>
    <row r="402" s="79" customFormat="1" x14ac:dyDescent="0.25"/>
    <row r="403" s="79" customFormat="1" x14ac:dyDescent="0.25"/>
    <row r="404" s="79" customFormat="1" x14ac:dyDescent="0.25"/>
    <row r="405" s="79" customFormat="1" x14ac:dyDescent="0.25"/>
    <row r="406" s="79" customFormat="1" x14ac:dyDescent="0.25"/>
    <row r="407" s="79" customFormat="1" x14ac:dyDescent="0.25"/>
    <row r="408" s="79" customFormat="1" x14ac:dyDescent="0.25"/>
    <row r="409" s="79" customFormat="1" x14ac:dyDescent="0.25"/>
    <row r="410" s="79" customFormat="1" x14ac:dyDescent="0.25"/>
    <row r="411" s="79" customFormat="1" x14ac:dyDescent="0.25"/>
    <row r="412" s="79" customFormat="1" x14ac:dyDescent="0.25"/>
    <row r="413" s="79" customFormat="1" x14ac:dyDescent="0.25"/>
    <row r="414" s="79" customFormat="1" x14ac:dyDescent="0.25"/>
    <row r="415" s="79" customFormat="1" x14ac:dyDescent="0.25"/>
    <row r="416" s="79" customFormat="1" x14ac:dyDescent="0.25"/>
    <row r="417" s="79" customFormat="1" x14ac:dyDescent="0.25"/>
    <row r="418" s="79" customFormat="1" x14ac:dyDescent="0.25"/>
    <row r="419" s="79" customFormat="1" x14ac:dyDescent="0.25"/>
    <row r="420" s="79" customFormat="1" x14ac:dyDescent="0.25"/>
    <row r="421" s="79" customFormat="1" x14ac:dyDescent="0.25"/>
    <row r="422" s="79" customFormat="1" x14ac:dyDescent="0.25"/>
    <row r="423" s="79" customFormat="1" x14ac:dyDescent="0.25"/>
    <row r="424" s="79" customFormat="1" x14ac:dyDescent="0.25"/>
    <row r="425" s="79" customFormat="1" x14ac:dyDescent="0.25"/>
    <row r="426" s="79" customFormat="1" x14ac:dyDescent="0.25"/>
    <row r="427" s="79" customFormat="1" x14ac:dyDescent="0.25"/>
    <row r="428" s="79" customFormat="1" x14ac:dyDescent="0.25"/>
    <row r="429" s="79" customFormat="1" x14ac:dyDescent="0.25"/>
    <row r="430" s="79" customFormat="1" x14ac:dyDescent="0.25"/>
    <row r="431" s="79" customFormat="1" x14ac:dyDescent="0.25"/>
    <row r="432" s="79" customFormat="1" x14ac:dyDescent="0.25"/>
    <row r="433" s="79" customFormat="1" x14ac:dyDescent="0.25"/>
    <row r="434" s="79" customFormat="1" x14ac:dyDescent="0.25"/>
    <row r="435" s="79" customFormat="1" x14ac:dyDescent="0.25"/>
    <row r="436" s="79" customFormat="1" x14ac:dyDescent="0.25"/>
    <row r="437" s="79" customFormat="1" x14ac:dyDescent="0.25"/>
    <row r="438" s="79" customFormat="1" x14ac:dyDescent="0.25"/>
    <row r="439" s="79" customFormat="1" x14ac:dyDescent="0.25"/>
    <row r="440" s="79" customFormat="1" x14ac:dyDescent="0.25"/>
    <row r="441" s="79" customFormat="1" x14ac:dyDescent="0.25"/>
    <row r="442" s="79" customFormat="1" x14ac:dyDescent="0.25"/>
    <row r="443" s="79" customFormat="1" x14ac:dyDescent="0.25"/>
    <row r="444" s="79" customFormat="1" x14ac:dyDescent="0.25"/>
    <row r="445" s="79" customFormat="1" x14ac:dyDescent="0.25"/>
    <row r="446" s="79" customFormat="1" x14ac:dyDescent="0.25"/>
    <row r="447" s="79" customFormat="1" x14ac:dyDescent="0.25"/>
    <row r="448" s="79" customFormat="1" x14ac:dyDescent="0.25"/>
    <row r="449" s="79" customFormat="1" x14ac:dyDescent="0.25"/>
    <row r="450" s="79" customFormat="1" x14ac:dyDescent="0.25"/>
    <row r="451" s="79" customFormat="1" x14ac:dyDescent="0.25"/>
    <row r="452" s="79" customFormat="1" x14ac:dyDescent="0.25"/>
    <row r="453" s="79" customFormat="1" x14ac:dyDescent="0.25"/>
    <row r="454" s="79" customFormat="1" x14ac:dyDescent="0.25"/>
    <row r="455" s="79" customFormat="1" x14ac:dyDescent="0.25"/>
    <row r="456" s="79" customFormat="1" x14ac:dyDescent="0.25"/>
    <row r="457" s="79" customFormat="1" x14ac:dyDescent="0.25"/>
    <row r="458" s="79" customFormat="1" x14ac:dyDescent="0.25"/>
    <row r="459" s="79" customFormat="1" x14ac:dyDescent="0.25"/>
    <row r="460" s="79" customFormat="1" x14ac:dyDescent="0.25"/>
    <row r="461" s="79" customFormat="1" x14ac:dyDescent="0.25"/>
    <row r="462" s="79" customFormat="1" x14ac:dyDescent="0.25"/>
    <row r="463" s="79" customFormat="1" x14ac:dyDescent="0.25"/>
    <row r="464" s="79" customFormat="1" x14ac:dyDescent="0.25"/>
    <row r="465" s="79" customFormat="1" x14ac:dyDescent="0.25"/>
    <row r="466" s="79" customFormat="1" x14ac:dyDescent="0.25"/>
    <row r="467" s="79" customFormat="1" x14ac:dyDescent="0.25"/>
    <row r="468" s="79" customFormat="1" x14ac:dyDescent="0.25"/>
    <row r="469" s="79" customFormat="1" x14ac:dyDescent="0.25"/>
    <row r="470" s="79" customFormat="1" x14ac:dyDescent="0.25"/>
    <row r="471" s="79" customFormat="1" x14ac:dyDescent="0.25"/>
    <row r="472" s="79" customFormat="1" x14ac:dyDescent="0.25"/>
    <row r="473" s="79" customFormat="1" x14ac:dyDescent="0.25"/>
    <row r="474" s="79" customFormat="1" x14ac:dyDescent="0.25"/>
    <row r="475" s="79" customFormat="1" x14ac:dyDescent="0.25"/>
    <row r="476" s="79" customFormat="1" x14ac:dyDescent="0.25"/>
    <row r="477" s="79" customFormat="1" x14ac:dyDescent="0.25"/>
    <row r="478" s="79" customFormat="1" x14ac:dyDescent="0.25"/>
    <row r="479" s="79" customFormat="1" x14ac:dyDescent="0.25"/>
    <row r="480" s="79" customFormat="1" x14ac:dyDescent="0.25"/>
    <row r="481" s="79" customFormat="1" x14ac:dyDescent="0.25"/>
    <row r="482" s="79" customFormat="1" x14ac:dyDescent="0.25"/>
    <row r="483" s="79" customFormat="1" x14ac:dyDescent="0.25"/>
    <row r="484" s="79" customFormat="1" x14ac:dyDescent="0.25"/>
    <row r="485" s="79" customFormat="1" x14ac:dyDescent="0.25"/>
    <row r="486" s="79" customFormat="1" x14ac:dyDescent="0.25"/>
    <row r="487" s="79" customFormat="1" x14ac:dyDescent="0.25"/>
    <row r="488" s="79" customFormat="1" x14ac:dyDescent="0.25"/>
    <row r="489" s="79" customFormat="1" x14ac:dyDescent="0.25"/>
    <row r="490" s="79" customFormat="1" x14ac:dyDescent="0.25"/>
  </sheetData>
  <sheetProtection algorithmName="SHA-512" hashValue="4jM3lwpH+mqSAQe0axXuP6ILh/0J53J6Loafr/409MB08QV+9WobY3Qq3P6Lf/SruNiakJ+W5lRL0hW6A+6hrA==" saltValue="WibdZrDVf1PUl3eNIPxeew==" spinCount="100000" sheet="1" objects="1" scenarios="1" selectLockedCells="1"/>
  <mergeCells count="20">
    <mergeCell ref="O71:Q71"/>
    <mergeCell ref="C13:D13"/>
    <mergeCell ref="A25:B26"/>
    <mergeCell ref="G1:P1"/>
    <mergeCell ref="A1:A5"/>
    <mergeCell ref="D2:E2"/>
    <mergeCell ref="D4:E4"/>
    <mergeCell ref="D3:E3"/>
    <mergeCell ref="D5:E5"/>
    <mergeCell ref="C22:D23"/>
    <mergeCell ref="C25:D26"/>
    <mergeCell ref="C24:D24"/>
    <mergeCell ref="A22:B23"/>
    <mergeCell ref="A24:B24"/>
    <mergeCell ref="H77:J80"/>
    <mergeCell ref="E22:H23"/>
    <mergeCell ref="C89:G89"/>
    <mergeCell ref="C71:G71"/>
    <mergeCell ref="C74:C75"/>
    <mergeCell ref="A28:G29"/>
  </mergeCells>
  <conditionalFormatting sqref="A22:B23">
    <cfRule type="expression" dxfId="8" priority="2">
      <formula>$C$15=0</formula>
    </cfRule>
  </conditionalFormatting>
  <conditionalFormatting sqref="A97:B97">
    <cfRule type="cellIs" dxfId="7" priority="11" operator="between">
      <formula>0</formula>
      <formula>0</formula>
    </cfRule>
  </conditionalFormatting>
  <conditionalFormatting sqref="A78:G78 A96:G96">
    <cfRule type="cellIs" dxfId="6" priority="18" operator="between">
      <formula>0</formula>
      <formula>0</formula>
    </cfRule>
  </conditionalFormatting>
  <conditionalFormatting sqref="C22:D23">
    <cfRule type="expression" dxfId="5" priority="3">
      <formula>$C$15=0</formula>
    </cfRule>
  </conditionalFormatting>
  <conditionalFormatting sqref="C77:G77 C95:G95">
    <cfRule type="expression" dxfId="4" priority="24">
      <formula>$C$77 &lt; $C$76</formula>
    </cfRule>
  </conditionalFormatting>
  <conditionalFormatting sqref="E12 E22">
    <cfRule type="expression" dxfId="3" priority="37">
      <formula>IF(($C$12&lt;=0),($C$76&lt;$D$112),(FALSE))</formula>
    </cfRule>
  </conditionalFormatting>
  <conditionalFormatting sqref="E19">
    <cfRule type="expression" dxfId="2" priority="4">
      <formula>$D$19&lt;=1.5</formula>
    </cfRule>
  </conditionalFormatting>
  <conditionalFormatting sqref="H75">
    <cfRule type="expression" dxfId="1" priority="36">
      <formula>$D$111-E74&lt;0</formula>
    </cfRule>
  </conditionalFormatting>
  <conditionalFormatting sqref="H77">
    <cfRule type="expression" dxfId="0" priority="16">
      <formula xml:space="preserve"> $C$76&gt;$C$77</formula>
    </cfRule>
  </conditionalFormatting>
  <dataValidations count="1">
    <dataValidation type="list" allowBlank="1" showInputMessage="1" showErrorMessage="1" sqref="C13" xr:uid="{00000000-0002-0000-0100-000000000000}">
      <formula1>$N$73:$N$92</formula1>
    </dataValidation>
  </dataValidations>
  <pageMargins left="0.7" right="0.7" top="0.75" bottom="0.75" header="0.3" footer="0.3"/>
  <pageSetup paperSize="8"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56246e-9127-47dc-83ec-dd09249a5dc8">
      <Value>6573</Value>
      <Value>4957</Value>
      <Value>3355</Value>
      <Value>3354</Value>
      <Value>937</Value>
      <Value>6359</Value>
    </TaxCatchAll>
    <g7cdd939bde74ce8ae38c3e8515ac89b xmlns="2dbf7103-978a-4cb3-9657-ca815dd81a49">
      <Terms xmlns="http://schemas.microsoft.com/office/infopath/2007/PartnerControls">
        <TermInfo xmlns="http://schemas.microsoft.com/office/infopath/2007/PartnerControls">
          <TermName xmlns="http://schemas.microsoft.com/office/infopath/2007/PartnerControls">Roads &amp; Streets</TermName>
          <TermId xmlns="http://schemas.microsoft.com/office/infopath/2007/PartnerControls">2721809a-60dc-49b9-9e1e-0e337c96155e</TermId>
        </TermInfo>
        <TermInfo xmlns="http://schemas.microsoft.com/office/infopath/2007/PartnerControls">
          <TermName xmlns="http://schemas.microsoft.com/office/infopath/2007/PartnerControls">Speed</TermName>
          <TermId xmlns="http://schemas.microsoft.com/office/infopath/2007/PartnerControls">8e52ed8b-912c-413b-a41a-64846cd79177</TermId>
        </TermInfo>
      </Terms>
    </g7cdd939bde74ce8ae38c3e8515ac89b>
    <l38719fda6b64815a8ba0ea0d465942d xmlns="2dbf7103-978a-4cb3-9657-ca815dd81a49">
      <Terms xmlns="http://schemas.microsoft.com/office/infopath/2007/PartnerControls"/>
    </l38719fda6b64815a8ba0ea0d465942d>
    <b70a6b8e5afb45fb8589a71e8eeac950 xmlns="2dbf7103-978a-4cb3-9657-ca815dd81a49">
      <Terms xmlns="http://schemas.microsoft.com/office/infopath/2007/PartnerControls">
        <TermInfo xmlns="http://schemas.microsoft.com/office/infopath/2007/PartnerControls">
          <TermName xmlns="http://schemas.microsoft.com/office/infopath/2007/PartnerControls">Speed Cushion</TermName>
          <TermId xmlns="http://schemas.microsoft.com/office/infopath/2007/PartnerControls">40fc44b4-3232-4590-b3fb-14245da066fe</TermId>
        </TermInfo>
      </Terms>
    </b70a6b8e5afb45fb8589a71e8eeac950>
    <pab55fd9455b4351839e2d08ae5773f1 xmlns="2dbf7103-978a-4cb3-9657-ca815dd81a49">
      <Terms xmlns="http://schemas.microsoft.com/office/infopath/2007/PartnerControls"/>
    </pab55fd9455b4351839e2d08ae5773f1>
    <f523fbf2c5c44b63bb8892cd1cdf2397 xmlns="2dbf7103-978a-4cb3-9657-ca815dd81a49">
      <Terms xmlns="http://schemas.microsoft.com/office/infopath/2007/PartnerControls"/>
    </f523fbf2c5c44b63bb8892cd1cdf2397>
    <n32a2774d04145eebacdae83039cc367 xmlns="2dbf7103-978a-4cb3-9657-ca815dd81a49">
      <Terms xmlns="http://schemas.microsoft.com/office/infopath/2007/PartnerControls">
        <TermInfo xmlns="http://schemas.microsoft.com/office/infopath/2007/PartnerControls">
          <TermName xmlns="http://schemas.microsoft.com/office/infopath/2007/PartnerControls">Request for Information</TermName>
          <TermId xmlns="http://schemas.microsoft.com/office/infopath/2007/PartnerControls">ed249de8-958e-423f-9f4b-b98d296def62</TermId>
        </TermInfo>
        <TermInfo xmlns="http://schemas.microsoft.com/office/infopath/2007/PartnerControls">
          <TermName xmlns="http://schemas.microsoft.com/office/infopath/2007/PartnerControls">Request for Information</TermName>
          <TermId xmlns="http://schemas.microsoft.com/office/infopath/2007/PartnerControls">55265535-c073-4cf1-9548-57837732e600</TermId>
        </TermInfo>
      </Terms>
    </n32a2774d04145eebacdae83039cc367>
    <k9022268ee984e0197885c4478c2fa77 xmlns="2dbf7103-978a-4cb3-9657-ca815dd81a49">
      <Terms xmlns="http://schemas.microsoft.com/office/infopath/2007/PartnerControls"/>
    </k9022268ee984e0197885c4478c2fa77>
    <n97e485fc06a450aab887cd5f2a52573 xmlns="2dbf7103-978a-4cb3-9657-ca815dd81a49">
      <Terms xmlns="http://schemas.microsoft.com/office/infopath/2007/PartnerControls"/>
    </n97e485fc06a450aab887cd5f2a52573>
    <ab339bef79fd457ea2ee4d855272cc04 xmlns="2dbf7103-978a-4cb3-9657-ca815dd81a49">
      <Terms xmlns="http://schemas.microsoft.com/office/infopath/2007/PartnerControls"/>
    </ab339bef79fd457ea2ee4d855272cc04>
    <D1_x0020_Aggregation_x0020_ID xmlns="2dbf7103-978a-4cb3-9657-ca815dd81a49" xsi:nil="true"/>
    <m49b9c91431949f68c5a9cc5655641c6 xmlns="2dbf7103-978a-4cb3-9657-ca815dd81a49">
      <Terms xmlns="http://schemas.microsoft.com/office/infopath/2007/PartnerControls"/>
    </m49b9c91431949f68c5a9cc5655641c6>
    <D1_x0020_Disposal_x0020_Trigger_x0020_Date xmlns="2dbf7103-978a-4cb3-9657-ca815dd81a49">2024-08-09T00:51:08+00:00</D1_x0020_Disposal_x0020_Trigger_x0020_Date>
    <f44c33be04ac4455a088245200ffe8d3 xmlns="2dbf7103-978a-4cb3-9657-ca815dd81a49">
      <Terms xmlns="http://schemas.microsoft.com/office/infopath/2007/PartnerControls"/>
    </f44c33be04ac4455a088245200ffe8d3>
    <p323357ae6604e63b25bf8cb929790e2 xmlns="2dbf7103-978a-4cb3-9657-ca815dd81a49">
      <Terms xmlns="http://schemas.microsoft.com/office/infopath/2007/PartnerControls">
        <TermInfo xmlns="http://schemas.microsoft.com/office/infopath/2007/PartnerControls">
          <TermName xmlns="http://schemas.microsoft.com/office/infopath/2007/PartnerControls">Speed</TermName>
          <TermId xmlns="http://schemas.microsoft.com/office/infopath/2007/PartnerControls">1481d867-5333-4f10-86f4-59058c1f1c7f</TermId>
        </TermInfo>
      </Terms>
    </p323357ae6604e63b25bf8cb929790e2>
    <na287ed8296e478c8b4d69ade78035be xmlns="2dbf7103-978a-4cb3-9657-ca815dd81a49">
      <Terms xmlns="http://schemas.microsoft.com/office/infopath/2007/PartnerControls"/>
    </na287ed8296e478c8b4d69ade78035be>
    <D1_x0020_Disposal_x0020_Class_x0020_ID xmlns="2dbf7103-978a-4cb3-9657-ca815dd81a49">
      <Value>CNT 002</Value>
      <Value>ASM 004</Value>
      <Value>PLN 003</Value>
    </D1_x0020_Disposal_x0020_Class_x0020_ID>
    <edc7841cb6944f0f95be4cd29d5f43ac xmlns="2dbf7103-978a-4cb3-9657-ca815dd81a49">
      <Terms xmlns="http://schemas.microsoft.com/office/infopath/2007/PartnerControls"/>
    </edc7841cb6944f0f95be4cd29d5f43ac>
    <m97dd0f7c5ac4ecf8af5db8866636bcd xmlns="2dbf7103-978a-4cb3-9657-ca815dd81a49">
      <Terms xmlns="http://schemas.microsoft.com/office/infopath/2007/PartnerControls"/>
    </m97dd0f7c5ac4ecf8af5db8866636bcd>
    <ge3e30c2b1d64d858b50864477f45c13 xmlns="2dbf7103-978a-4cb3-9657-ca815dd81a49">
      <Terms xmlns="http://schemas.microsoft.com/office/infopath/2007/PartnerControls"/>
    </ge3e30c2b1d64d858b50864477f45c13>
    <p432d72570b54221809771c19a3328a3 xmlns="2dbf7103-978a-4cb3-9657-ca815dd81a49">
      <Terms xmlns="http://schemas.microsoft.com/office/infopath/2007/PartnerControls"/>
    </p432d72570b54221809771c19a3328a3>
    <lcf76f155ced4ddcb4097134ff3c332f xmlns="2dbf7103-978a-4cb3-9657-ca815dd81a4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9705BE38D29044A15BA02AD1C6DF11" ma:contentTypeVersion="55" ma:contentTypeDescription="Create a new document." ma:contentTypeScope="" ma:versionID="f21e85c9c42d768728f63ce28c8b63d8">
  <xsd:schema xmlns:xsd="http://www.w3.org/2001/XMLSchema" xmlns:xs="http://www.w3.org/2001/XMLSchema" xmlns:p="http://schemas.microsoft.com/office/2006/metadata/properties" xmlns:ns2="2dbf7103-978a-4cb3-9657-ca815dd81a49" xmlns:ns3="7ead7e17-e126-45ff-93fb-c9eab223d42b" xmlns:ns4="6656246e-9127-47dc-83ec-dd09249a5dc8" targetNamespace="http://schemas.microsoft.com/office/2006/metadata/properties" ma:root="true" ma:fieldsID="7f6836c3929050c0557025204231568e" ns2:_="" ns3:_="" ns4:_="">
    <xsd:import namespace="2dbf7103-978a-4cb3-9657-ca815dd81a49"/>
    <xsd:import namespace="7ead7e17-e126-45ff-93fb-c9eab223d42b"/>
    <xsd:import namespace="6656246e-9127-47dc-83ec-dd09249a5d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l38719fda6b64815a8ba0ea0d465942d" minOccurs="0"/>
                <xsd:element ref="ns4:TaxCatchAll" minOccurs="0"/>
                <xsd:element ref="ns2:f523fbf2c5c44b63bb8892cd1cdf2397" minOccurs="0"/>
                <xsd:element ref="ns2:edc7841cb6944f0f95be4cd29d5f43ac" minOccurs="0"/>
                <xsd:element ref="ns2:k9022268ee984e0197885c4478c2fa77" minOccurs="0"/>
                <xsd:element ref="ns2:m49b9c91431949f68c5a9cc5655641c6" minOccurs="0"/>
                <xsd:element ref="ns2:n32a2774d04145eebacdae83039cc367" minOccurs="0"/>
                <xsd:element ref="ns2:pab55fd9455b4351839e2d08ae5773f1" minOccurs="0"/>
                <xsd:element ref="ns2:n97e485fc06a450aab887cd5f2a52573" minOccurs="0"/>
                <xsd:element ref="ns2:b70a6b8e5afb45fb8589a71e8eeac950" minOccurs="0"/>
                <xsd:element ref="ns2:g7cdd939bde74ce8ae38c3e8515ac89b" minOccurs="0"/>
                <xsd:element ref="ns2:na287ed8296e478c8b4d69ade78035be" minOccurs="0"/>
                <xsd:element ref="ns2:m97dd0f7c5ac4ecf8af5db8866636bcd" minOccurs="0"/>
                <xsd:element ref="ns2:ab339bef79fd457ea2ee4d855272cc04" minOccurs="0"/>
                <xsd:element ref="ns2:p323357ae6604e63b25bf8cb929790e2" minOccurs="0"/>
                <xsd:element ref="ns2:f44c33be04ac4455a088245200ffe8d3" minOccurs="0"/>
                <xsd:element ref="ns2:ge3e30c2b1d64d858b50864477f45c13" minOccurs="0"/>
                <xsd:element ref="ns2:D1_x0020_Disposal_x0020_Class_x0020_ID" minOccurs="0"/>
                <xsd:element ref="ns2:D1_x0020_Disposal_x0020_Trigger_x0020_Date" minOccurs="0"/>
                <xsd:element ref="ns2:D1_x0020_Aggregation_x0020_ID" minOccurs="0"/>
                <xsd:element ref="ns2:MediaServiceAutoKeyPoints" minOccurs="0"/>
                <xsd:element ref="ns2:MediaServiceKeyPoints" minOccurs="0"/>
                <xsd:element ref="ns2:p432d72570b54221809771c19a3328a3"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f7103-978a-4cb3-9657-ca815dd81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l38719fda6b64815a8ba0ea0d465942d" ma:index="19" nillable="true" ma:taxonomy="true" ma:internalName="l38719fda6b64815a8ba0ea0d465942d" ma:taxonomyFieldName="D1_x0020_Asset_x0020_Fleet" ma:displayName="D1 Asset Fleet" ma:fieldId="{538719fd-a6b6-4815-a8ba-0ea0d465942d}" ma:taxonomyMulti="true" ma:sspId="ff230ced-49e3-4bbb-87bd-09c1ed00c10a" ma:termSetId="ff50f3f5-6f20-4dce-a11e-f2735c52176b" ma:anchorId="00000000-0000-0000-0000-000000000000" ma:open="false" ma:isKeyword="false">
      <xsd:complexType>
        <xsd:sequence>
          <xsd:element ref="pc:Terms" minOccurs="0" maxOccurs="1"/>
        </xsd:sequence>
      </xsd:complexType>
    </xsd:element>
    <xsd:element name="f523fbf2c5c44b63bb8892cd1cdf2397" ma:index="22" nillable="true" ma:taxonomy="true" ma:internalName="f523fbf2c5c44b63bb8892cd1cdf2397" ma:taxonomyFieldName="D1_x0020_Asset_x0020_Road_x0020_Network" ma:displayName="D1 Asset Road Network" ma:fieldId="{f523fbf2-c5c4-4b63-bb88-92cd1cdf2397}" ma:taxonomyMulti="true" ma:sspId="ff230ced-49e3-4bbb-87bd-09c1ed00c10a" ma:termSetId="7e336676-f8dc-4085-90f8-cab2609eea1b" ma:anchorId="00000000-0000-0000-0000-000000000000" ma:open="false" ma:isKeyword="false">
      <xsd:complexType>
        <xsd:sequence>
          <xsd:element ref="pc:Terms" minOccurs="0" maxOccurs="1"/>
        </xsd:sequence>
      </xsd:complexType>
    </xsd:element>
    <xsd:element name="edc7841cb6944f0f95be4cd29d5f43ac" ma:index="24" nillable="true" ma:taxonomy="true" ma:internalName="edc7841cb6944f0f95be4cd29d5f43ac" ma:taxonomyFieldName="D1_x0020_Asset_x0020_Property_x0020_and_x0020_Facilities" ma:displayName="D1 Asset Property and Facilities" ma:fieldId="{edc7841c-b694-4f0f-95be-4cd29d5f43ac}" ma:taxonomyMulti="true" ma:sspId="ff230ced-49e3-4bbb-87bd-09c1ed00c10a" ma:termSetId="1122c7b1-d46a-4b5f-ade1-ccb43276c171" ma:anchorId="00000000-0000-0000-0000-000000000000" ma:open="false" ma:isKeyword="false">
      <xsd:complexType>
        <xsd:sequence>
          <xsd:element ref="pc:Terms" minOccurs="0" maxOccurs="1"/>
        </xsd:sequence>
      </xsd:complexType>
    </xsd:element>
    <xsd:element name="k9022268ee984e0197885c4478c2fa77" ma:index="26" nillable="true" ma:taxonomy="true" ma:internalName="k9022268ee984e0197885c4478c2fa77" ma:taxonomyFieldName="D1_x0020_Asset_x0020_Harbour_x0020_Master" ma:displayName="D1 Asset Harbour Master" ma:fieldId="{49022268-ee98-4e01-9788-5c4478c2fa77}" ma:taxonomyMulti="true" ma:sspId="ff230ced-49e3-4bbb-87bd-09c1ed00c10a" ma:termSetId="64e046af-3e8c-446f-8b60-4f7d7d35b9f0" ma:anchorId="00000000-0000-0000-0000-000000000000" ma:open="false" ma:isKeyword="false">
      <xsd:complexType>
        <xsd:sequence>
          <xsd:element ref="pc:Terms" minOccurs="0" maxOccurs="1"/>
        </xsd:sequence>
      </xsd:complexType>
    </xsd:element>
    <xsd:element name="m49b9c91431949f68c5a9cc5655641c6" ma:index="28" nillable="true" ma:taxonomy="true" ma:internalName="m49b9c91431949f68c5a9cc5655641c6" ma:taxonomyFieldName="D1_x0020_Asset_x0020_Public_x0020_Transport_x0020_Network" ma:displayName="D1 Asset Public Transport Network" ma:fieldId="{649b9c91-4319-49f6-8c5a-9cc5655641c6}" ma:taxonomyMulti="true" ma:sspId="ff230ced-49e3-4bbb-87bd-09c1ed00c10a" ma:termSetId="2318be08-87d5-46b9-93f0-ddc8be9255ea" ma:anchorId="00000000-0000-0000-0000-000000000000" ma:open="false" ma:isKeyword="false">
      <xsd:complexType>
        <xsd:sequence>
          <xsd:element ref="pc:Terms" minOccurs="0" maxOccurs="1"/>
        </xsd:sequence>
      </xsd:complexType>
    </xsd:element>
    <xsd:element name="n32a2774d04145eebacdae83039cc367" ma:index="30" nillable="true" ma:taxonomy="true" ma:internalName="n32a2774d04145eebacdae83039cc367" ma:taxonomyFieldName="D1_x0020_Document_x0020_Category" ma:displayName="D1 Document Category" ma:fieldId="{732a2774-d041-45ee-bacd-ae83039cc367}" ma:taxonomyMulti="true" ma:sspId="ff230ced-49e3-4bbb-87bd-09c1ed00c10a" ma:termSetId="6a8ad7e6-b84e-4481-a0fc-904832309922" ma:anchorId="00000000-0000-0000-0000-000000000000" ma:open="false" ma:isKeyword="false">
      <xsd:complexType>
        <xsd:sequence>
          <xsd:element ref="pc:Terms" minOccurs="0" maxOccurs="1"/>
        </xsd:sequence>
      </xsd:complexType>
    </xsd:element>
    <xsd:element name="pab55fd9455b4351839e2d08ae5773f1" ma:index="32" nillable="true" ma:taxonomy="true" ma:internalName="pab55fd9455b4351839e2d08ae5773f1" ma:taxonomyFieldName="D1_x0020_Location" ma:displayName="D1 Location" ma:fieldId="{9ab55fd9-455b-4351-839e-2d08ae5773f1}" ma:taxonomyMulti="true" ma:sspId="ff230ced-49e3-4bbb-87bd-09c1ed00c10a" ma:termSetId="acac4e8b-17f9-4fc6-8c36-b75eed88731a" ma:anchorId="00000000-0000-0000-0000-000000000000" ma:open="false" ma:isKeyword="false">
      <xsd:complexType>
        <xsd:sequence>
          <xsd:element ref="pc:Terms" minOccurs="0" maxOccurs="1"/>
        </xsd:sequence>
      </xsd:complexType>
    </xsd:element>
    <xsd:element name="n97e485fc06a450aab887cd5f2a52573" ma:index="34" nillable="true" ma:taxonomy="true" ma:internalName="n97e485fc06a450aab887cd5f2a52573" ma:taxonomyFieldName="D1_x0020_Road_x0020_Suffixes" ma:displayName="D1 Road Suffixes" ma:fieldId="{797e485f-c06a-450a-ab88-7cd5f2a52573}" ma:taxonomyMulti="true" ma:sspId="ff230ced-49e3-4bbb-87bd-09c1ed00c10a" ma:termSetId="b9a435c5-f0c7-412f-b9ef-836b307a816e" ma:anchorId="00000000-0000-0000-0000-000000000000" ma:open="false" ma:isKeyword="false">
      <xsd:complexType>
        <xsd:sequence>
          <xsd:element ref="pc:Terms" minOccurs="0" maxOccurs="1"/>
        </xsd:sequence>
      </xsd:complexType>
    </xsd:element>
    <xsd:element name="b70a6b8e5afb45fb8589a71e8eeac950" ma:index="36" nillable="true" ma:taxonomy="true" ma:internalName="b70a6b8e5afb45fb8589a71e8eeac950" ma:taxonomyFieldName="D1_x0020_Asset_x0020_Type" ma:displayName="D1 Asset Type" ma:fieldId="{b70a6b8e-5afb-45fb-8589-a71e8eeac950}" ma:taxonomyMulti="true" ma:sspId="ff230ced-49e3-4bbb-87bd-09c1ed00c10a" ma:termSetId="a5bee0cb-d5bf-4907-b815-f87ed9bc4f31" ma:anchorId="00000000-0000-0000-0000-000000000000" ma:open="false" ma:isKeyword="false">
      <xsd:complexType>
        <xsd:sequence>
          <xsd:element ref="pc:Terms" minOccurs="0" maxOccurs="1"/>
        </xsd:sequence>
      </xsd:complexType>
    </xsd:element>
    <xsd:element name="g7cdd939bde74ce8ae38c3e8515ac89b" ma:index="38" nillable="true" ma:taxonomy="true" ma:internalName="g7cdd939bde74ce8ae38c3e8515ac89b" ma:taxonomyFieldName="D1_x0020_Programme_x0020_Project" ma:displayName="D1 Programme Project" ma:fieldId="{07cdd939-bde7-4ce8-ae38-c3e8515ac89b}" ma:taxonomyMulti="true" ma:sspId="ff230ced-49e3-4bbb-87bd-09c1ed00c10a" ma:termSetId="f9084cb8-3837-45ee-b19c-35f80270572b" ma:anchorId="00000000-0000-0000-0000-000000000000" ma:open="false" ma:isKeyword="false">
      <xsd:complexType>
        <xsd:sequence>
          <xsd:element ref="pc:Terms" minOccurs="0" maxOccurs="1"/>
        </xsd:sequence>
      </xsd:complexType>
    </xsd:element>
    <xsd:element name="na287ed8296e478c8b4d69ade78035be" ma:index="40" nillable="true" ma:taxonomy="true" ma:internalName="na287ed8296e478c8b4d69ade78035be" ma:taxonomyFieldName="D1_x0020_Supplier" ma:displayName="D1 Supplier" ma:fieldId="{7a287ed8-296e-478c-8b4d-69ade78035be}" ma:taxonomyMulti="true" ma:sspId="ff230ced-49e3-4bbb-87bd-09c1ed00c10a" ma:termSetId="7b72085d-2014-4708-9405-772a5cdcaa8b" ma:anchorId="00000000-0000-0000-0000-000000000000" ma:open="false" ma:isKeyword="false">
      <xsd:complexType>
        <xsd:sequence>
          <xsd:element ref="pc:Terms" minOccurs="0" maxOccurs="1"/>
        </xsd:sequence>
      </xsd:complexType>
    </xsd:element>
    <xsd:element name="m97dd0f7c5ac4ecf8af5db8866636bcd" ma:index="42" nillable="true" ma:taxonomy="true" ma:internalName="m97dd0f7c5ac4ecf8af5db8866636bcd" ma:taxonomyFieldName="D1_x0020_Partners_x0020_Stakeholders" ma:displayName="D1 Partners Stakeholders" ma:fieldId="{697dd0f7-c5ac-4ecf-8af5-db8866636bcd}" ma:taxonomyMulti="true" ma:sspId="ff230ced-49e3-4bbb-87bd-09c1ed00c10a" ma:termSetId="068a3f1c-8d62-482f-ad29-bfcaa4623257" ma:anchorId="00000000-0000-0000-0000-000000000000" ma:open="false" ma:isKeyword="false">
      <xsd:complexType>
        <xsd:sequence>
          <xsd:element ref="pc:Terms" minOccurs="0" maxOccurs="1"/>
        </xsd:sequence>
      </xsd:complexType>
    </xsd:element>
    <xsd:element name="ab339bef79fd457ea2ee4d855272cc04" ma:index="44" nillable="true" ma:taxonomy="true" ma:internalName="ab339bef79fd457ea2ee4d855272cc04" ma:taxonomyFieldName="D1_x0020_Application" ma:displayName="D1 Application" ma:fieldId="{ab339bef-79fd-457e-a2ee-4d855272cc04}" ma:taxonomyMulti="true" ma:sspId="ff230ced-49e3-4bbb-87bd-09c1ed00c10a" ma:termSetId="9838f537-a913-4b0e-8289-0880136d2bfb" ma:anchorId="00000000-0000-0000-0000-000000000000" ma:open="false" ma:isKeyword="false">
      <xsd:complexType>
        <xsd:sequence>
          <xsd:element ref="pc:Terms" minOccurs="0" maxOccurs="1"/>
        </xsd:sequence>
      </xsd:complexType>
    </xsd:element>
    <xsd:element name="p323357ae6604e63b25bf8cb929790e2" ma:index="46" nillable="true" ma:taxonomy="true" ma:internalName="p323357ae6604e63b25bf8cb929790e2" ma:taxonomyFieldName="D1_x0020_Subject" ma:displayName="D1 Subject" ma:fieldId="{9323357a-e660-4e63-b25b-f8cb929790e2}" ma:taxonomyMulti="true" ma:sspId="ff230ced-49e3-4bbb-87bd-09c1ed00c10a" ma:termSetId="12883479-ed34-4320-85a0-1e4c407e2988" ma:anchorId="00000000-0000-0000-0000-000000000000" ma:open="false" ma:isKeyword="false">
      <xsd:complexType>
        <xsd:sequence>
          <xsd:element ref="pc:Terms" minOccurs="0" maxOccurs="1"/>
        </xsd:sequence>
      </xsd:complexType>
    </xsd:element>
    <xsd:element name="f44c33be04ac4455a088245200ffe8d3" ma:index="48" nillable="true" ma:taxonomy="true" ma:internalName="f44c33be04ac4455a088245200ffe8d3" ma:taxonomyFieldName="D1_x0020_Service" ma:displayName="D1 Service" ma:fieldId="{f44c33be-04ac-4455-a088-245200ffe8d3}" ma:taxonomyMulti="true" ma:sspId="ff230ced-49e3-4bbb-87bd-09c1ed00c10a" ma:termSetId="10179ea1-d3a3-4604-81c5-d296916b0710" ma:anchorId="00000000-0000-0000-0000-000000000000" ma:open="false" ma:isKeyword="false">
      <xsd:complexType>
        <xsd:sequence>
          <xsd:element ref="pc:Terms" minOccurs="0" maxOccurs="1"/>
        </xsd:sequence>
      </xsd:complexType>
    </xsd:element>
    <xsd:element name="ge3e30c2b1d64d858b50864477f45c13" ma:index="50" nillable="true" ma:taxonomy="true" ma:internalName="ge3e30c2b1d64d858b50864477f45c13" ma:taxonomyFieldName="D1_x0020_Geography" ma:displayName="D1 Geography" ma:fieldId="{0e3e30c2-b1d6-4d85-8b50-864477f45c13}" ma:taxonomyMulti="true" ma:sspId="ff230ced-49e3-4bbb-87bd-09c1ed00c10a" ma:termSetId="ed3e297b-e6d3-4a4e-9ca7-23a9c06637dc" ma:anchorId="00000000-0000-0000-0000-000000000000" ma:open="false" ma:isKeyword="false">
      <xsd:complexType>
        <xsd:sequence>
          <xsd:element ref="pc:Terms" minOccurs="0" maxOccurs="1"/>
        </xsd:sequence>
      </xsd:complexType>
    </xsd:element>
    <xsd:element name="D1_x0020_Disposal_x0020_Class_x0020_ID" ma:index="51" nillable="true" ma:displayName="D1 Disposal Class ID" ma:internalName="D1_x0020_Disposal_x0020_Class_x0020_ID">
      <xsd:complexType>
        <xsd:complexContent>
          <xsd:extension base="dms:MultiChoiceFillIn">
            <xsd:sequence>
              <xsd:element name="Value" maxOccurs="unbounded" minOccurs="0" nillable="true">
                <xsd:simpleType>
                  <xsd:union memberTypes="dms:Text">
                    <xsd:simpleType>
                      <xsd:restriction base="dms:Choice">
                        <xsd:enumeration value="..."/>
                      </xsd:restriction>
                    </xsd:simpleType>
                  </xsd:union>
                </xsd:simpleType>
              </xsd:element>
            </xsd:sequence>
          </xsd:extension>
        </xsd:complexContent>
      </xsd:complexType>
    </xsd:element>
    <xsd:element name="D1_x0020_Disposal_x0020_Trigger_x0020_Date" ma:index="52" nillable="true" ma:displayName="D1 Disposal Trigger Date" ma:internalName="D1_x0020_Disposal_x0020_Trigger_x0020_Date">
      <xsd:simpleType>
        <xsd:restriction base="dms:DateTime"/>
      </xsd:simpleType>
    </xsd:element>
    <xsd:element name="D1_x0020_Aggregation_x0020_ID" ma:index="53" nillable="true" ma:displayName="D1 Aggregation ID" ma:internalName="D1_x0020_Aggregation_x0020_ID">
      <xsd:complexType>
        <xsd:complexContent>
          <xsd:extension base="dms:MultiChoiceFillIn">
            <xsd:sequence>
              <xsd:element name="Value" maxOccurs="unbounded" minOccurs="0" nillable="true">
                <xsd:simpleType>
                  <xsd:union memberTypes="dms:Text">
                    <xsd:simpleType>
                      <xsd:restriction base="dms:Choice">
                        <xsd:enumeration value="..."/>
                      </xsd:restriction>
                    </xsd:simpleType>
                  </xsd:union>
                </xsd:simpleType>
              </xsd:element>
            </xsd:sequence>
          </xsd:extension>
        </xsd:complexContent>
      </xsd:complexType>
    </xsd:element>
    <xsd:element name="MediaServiceAutoKeyPoints" ma:index="54" nillable="true" ma:displayName="MediaServiceAutoKeyPoints" ma:hidden="true" ma:internalName="MediaServiceAutoKeyPoints" ma:readOnly="true">
      <xsd:simpleType>
        <xsd:restriction base="dms:Note"/>
      </xsd:simpleType>
    </xsd:element>
    <xsd:element name="MediaServiceKeyPoints" ma:index="55" nillable="true" ma:displayName="KeyPoints" ma:internalName="MediaServiceKeyPoints" ma:readOnly="true">
      <xsd:simpleType>
        <xsd:restriction base="dms:Note">
          <xsd:maxLength value="255"/>
        </xsd:restriction>
      </xsd:simpleType>
    </xsd:element>
    <xsd:element name="p432d72570b54221809771c19a3328a3" ma:index="57" nillable="true" ma:taxonomy="true" ma:internalName="p432d72570b54221809771c19a3328a3" ma:taxonomyFieldName="D1_x0020_Instrument" ma:displayName="D1 Instrument" ma:fieldId="{9432d725-70b5-4221-8097-71c19a3328a3}" ma:taxonomyMulti="true" ma:sspId="ff230ced-49e3-4bbb-87bd-09c1ed00c10a" ma:termSetId="e6b79c1b-4954-47eb-8e96-b5599575c1fd" ma:anchorId="00000000-0000-0000-0000-000000000000" ma:open="false" ma:isKeyword="false">
      <xsd:complexType>
        <xsd:sequence>
          <xsd:element ref="pc:Terms" minOccurs="0" maxOccurs="1"/>
        </xsd:sequence>
      </xsd:complexType>
    </xsd:element>
    <xsd:element name="MediaLengthInSeconds" ma:index="58" nillable="true" ma:displayName="Length (seconds)" ma:internalName="MediaLengthInSeconds" ma:readOnly="true">
      <xsd:simpleType>
        <xsd:restriction base="dms:Unknown"/>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ff230ced-49e3-4bbb-87bd-09c1ed00c1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ad7e17-e126-45ff-93fb-c9eab223d42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56246e-9127-47dc-83ec-dd09249a5dc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582b869-2832-4141-894e-f539ea3aa716}" ma:internalName="TaxCatchAll" ma:showField="CatchAllData" ma:web="7ead7e17-e126-45ff-93fb-c9eab223d4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067E55-71E6-4C0D-9AC6-CA5313475AE4}">
  <ds:schemaRefs>
    <ds:schemaRef ds:uri="http://schemas.microsoft.com/office/2006/metadata/properties"/>
    <ds:schemaRef ds:uri="http://schemas.microsoft.com/office/infopath/2007/PartnerControls"/>
    <ds:schemaRef ds:uri="6656246e-9127-47dc-83ec-dd09249a5dc8"/>
    <ds:schemaRef ds:uri="2dbf7103-978a-4cb3-9657-ca815dd81a49"/>
  </ds:schemaRefs>
</ds:datastoreItem>
</file>

<file path=customXml/itemProps2.xml><?xml version="1.0" encoding="utf-8"?>
<ds:datastoreItem xmlns:ds="http://schemas.openxmlformats.org/officeDocument/2006/customXml" ds:itemID="{5F9AB8E6-1738-44BD-AA6D-87CED3ECA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f7103-978a-4cb3-9657-ca815dd81a49"/>
    <ds:schemaRef ds:uri="7ead7e17-e126-45ff-93fb-c9eab223d42b"/>
    <ds:schemaRef ds:uri="6656246e-9127-47dc-83ec-dd09249a5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CE7BEC-C3FE-4FDC-9A59-7628BE2E6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ASD-SSD-SiSD and modified</vt:lpstr>
      <vt:lpstr>DSD</vt:lpstr>
    </vt:vector>
  </TitlesOfParts>
  <Manager/>
  <Company>MWH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MWH</dc:creator>
  <cp:keywords/>
  <dc:description/>
  <cp:lastModifiedBy>Jose Rodriguez Araya (AT)</cp:lastModifiedBy>
  <cp:revision/>
  <dcterms:created xsi:type="dcterms:W3CDTF">2010-07-15T03:42:26Z</dcterms:created>
  <dcterms:modified xsi:type="dcterms:W3CDTF">2026-01-06T05:12:21Z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0x0101002A9705BE38D29044A15BA02AD1C6DF11</vt:lpwstr>
  </property>
  <property fmtid="{D5CDD505-2E9C-101B-9397-08002B2CF9AE}" pid="3" name="D1 Road Suffixes">
    <vt:lpwstr/>
  </property>
  <property fmtid="{D5CDD505-2E9C-101B-9397-08002B2CF9AE}" pid="4" name="D1 Asset Type">
    <vt:lpwstr>6359;#Speed Cushion|40fc44b4-3232-4590-b3fb-14245da066fe</vt:lpwstr>
  </property>
  <property fmtid="{D5CDD505-2E9C-101B-9397-08002B2CF9AE}" pid="5" name="D1 Document Category">
    <vt:lpwstr>3355;#Request for Information|ed249de8-958e-423f-9f4b-b98d296def62;#3354;#Request for Information|55265535-c073-4cf1-9548-57837732e600</vt:lpwstr>
  </property>
  <property fmtid="{D5CDD505-2E9C-101B-9397-08002B2CF9AE}" pid="6" name="D1 Instrument">
    <vt:lpwstr/>
  </property>
  <property fmtid="{D5CDD505-2E9C-101B-9397-08002B2CF9AE}" pid="7" name="D1 Service">
    <vt:lpwstr/>
  </property>
  <property fmtid="{D5CDD505-2E9C-101B-9397-08002B2CF9AE}" pid="8" name="D1 Asset Fleet">
    <vt:lpwstr/>
  </property>
  <property fmtid="{D5CDD505-2E9C-101B-9397-08002B2CF9AE}" pid="9" name="D1 Geography">
    <vt:lpwstr/>
  </property>
  <property fmtid="{D5CDD505-2E9C-101B-9397-08002B2CF9AE}" pid="10" name="D1 Programme Project">
    <vt:lpwstr>937;#Roads &amp; Streets|2721809a-60dc-49b9-9e1e-0e337c96155e;#6573;#Speed|8e52ed8b-912c-413b-a41a-64846cd79177</vt:lpwstr>
  </property>
  <property fmtid="{D5CDD505-2E9C-101B-9397-08002B2CF9AE}" pid="11" name="D1 Asset Public Transport Network">
    <vt:lpwstr/>
  </property>
  <property fmtid="{D5CDD505-2E9C-101B-9397-08002B2CF9AE}" pid="12" name="D1 Asset Road Network">
    <vt:lpwstr/>
  </property>
  <property fmtid="{D5CDD505-2E9C-101B-9397-08002B2CF9AE}" pid="13" name="D1 Location">
    <vt:lpwstr/>
  </property>
  <property fmtid="{D5CDD505-2E9C-101B-9397-08002B2CF9AE}" pid="14" name="D1 Supplier">
    <vt:lpwstr/>
  </property>
  <property fmtid="{D5CDD505-2E9C-101B-9397-08002B2CF9AE}" pid="15" name="D1 Application">
    <vt:lpwstr/>
  </property>
  <property fmtid="{D5CDD505-2E9C-101B-9397-08002B2CF9AE}" pid="16" name="D1 Asset Property and Facilities">
    <vt:lpwstr/>
  </property>
  <property fmtid="{D5CDD505-2E9C-101B-9397-08002B2CF9AE}" pid="17" name="D1 Subject">
    <vt:lpwstr>4957;#Speed|1481d867-5333-4f10-86f4-59058c1f1c7f</vt:lpwstr>
  </property>
  <property fmtid="{D5CDD505-2E9C-101B-9397-08002B2CF9AE}" pid="18" name="D1 Partners Stakeholders">
    <vt:lpwstr/>
  </property>
  <property fmtid="{D5CDD505-2E9C-101B-9397-08002B2CF9AE}" pid="19" name="D1 Asset Harbour Master">
    <vt:lpwstr/>
  </property>
  <property fmtid="{D5CDD505-2E9C-101B-9397-08002B2CF9AE}" pid="20" name="MediaServiceImageTags">
    <vt:lpwstr/>
  </property>
  <property fmtid="{D5CDD505-2E9C-101B-9397-08002B2CF9AE}" pid="21" name="D1_x0020_Asset_x0020_Public_x0020_Transport_x0020_Network">
    <vt:lpwstr/>
  </property>
  <property fmtid="{D5CDD505-2E9C-101B-9397-08002B2CF9AE}" pid="22" name="D1_x0020_Location">
    <vt:lpwstr/>
  </property>
  <property fmtid="{D5CDD505-2E9C-101B-9397-08002B2CF9AE}" pid="23" name="D1_x0020_Instrument">
    <vt:lpwstr/>
  </property>
  <property fmtid="{D5CDD505-2E9C-101B-9397-08002B2CF9AE}" pid="24" name="D1_x0020_Asset_x0020_Fleet">
    <vt:lpwstr/>
  </property>
  <property fmtid="{D5CDD505-2E9C-101B-9397-08002B2CF9AE}" pid="25" name="D1_x0020_Asset_x0020_Harbour_x0020_Master">
    <vt:lpwstr/>
  </property>
  <property fmtid="{D5CDD505-2E9C-101B-9397-08002B2CF9AE}" pid="26" name="D1_x0020_Asset_x0020_Road_x0020_Network">
    <vt:lpwstr/>
  </property>
  <property fmtid="{D5CDD505-2E9C-101B-9397-08002B2CF9AE}" pid="27" name="D1_x0020_Partners_x0020_Stakeholders">
    <vt:lpwstr/>
  </property>
  <property fmtid="{D5CDD505-2E9C-101B-9397-08002B2CF9AE}" pid="28" name="D1_x0020_Subject">
    <vt:lpwstr>4957;#Speed|1481d867-5333-4f10-86f4-59058c1f1c7f</vt:lpwstr>
  </property>
  <property fmtid="{D5CDD505-2E9C-101B-9397-08002B2CF9AE}" pid="29" name="D1_x0020_Programme_x0020_Project">
    <vt:lpwstr>937;#Roads &amp; Streets|2721809a-60dc-49b9-9e1e-0e337c96155e;#6573;#Speed|8e52ed8b-912c-413b-a41a-64846cd79177</vt:lpwstr>
  </property>
  <property fmtid="{D5CDD505-2E9C-101B-9397-08002B2CF9AE}" pid="30" name="D1_x0020_Asset_x0020_Type">
    <vt:lpwstr>6359;#Speed Cushion|40fc44b4-3232-4590-b3fb-14245da066fe</vt:lpwstr>
  </property>
  <property fmtid="{D5CDD505-2E9C-101B-9397-08002B2CF9AE}" pid="31" name="D1_x0020_Road_x0020_Suffixes">
    <vt:lpwstr/>
  </property>
  <property fmtid="{D5CDD505-2E9C-101B-9397-08002B2CF9AE}" pid="32" name="D1_x0020_Service">
    <vt:lpwstr/>
  </property>
  <property fmtid="{D5CDD505-2E9C-101B-9397-08002B2CF9AE}" pid="33" name="D1_x0020_Geography">
    <vt:lpwstr/>
  </property>
  <property fmtid="{D5CDD505-2E9C-101B-9397-08002B2CF9AE}" pid="34" name="D1_x0020_Asset_x0020_Property_x0020_and_x0020_Facilities">
    <vt:lpwstr/>
  </property>
  <property fmtid="{D5CDD505-2E9C-101B-9397-08002B2CF9AE}" pid="35" name="D1_x0020_Supplier">
    <vt:lpwstr/>
  </property>
  <property fmtid="{D5CDD505-2E9C-101B-9397-08002B2CF9AE}" pid="36" name="D1_x0020_Document_x0020_Category">
    <vt:lpwstr>3355;#Request for Information|ed249de8-958e-423f-9f4b-b98d296def62;#3354;#Request for Information|55265535-c073-4cf1-9548-57837732e600</vt:lpwstr>
  </property>
  <property fmtid="{D5CDD505-2E9C-101B-9397-08002B2CF9AE}" pid="37" name="D1_x0020_Application">
    <vt:lpwstr/>
  </property>
</Properties>
</file>