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codeName="ThisWorkbook" defaultThemeVersion="166925"/>
  <mc:AlternateContent xmlns:mc="http://schemas.openxmlformats.org/markup-compatibility/2006">
    <mc:Choice Requires="x15">
      <x15ac:absPath xmlns:x15ac="http://schemas.microsoft.com/office/spreadsheetml/2010/11/ac" url="/Users/robertdouglas-jones/Library/CloudStorage/GoogleDrive-rob@edin.co.nz/Shared drives/Projects - Edin/276 - Clearway and No Stopping At All Times (NSAAT) protocol/SVL Protocol/Working draft/"/>
    </mc:Choice>
  </mc:AlternateContent>
  <xr:revisionPtr revIDLastSave="0" documentId="13_ncr:1_{48BACE39-99D4-2241-91B7-E75DDD8E6C48}" xr6:coauthVersionLast="47" xr6:coauthVersionMax="47" xr10:uidLastSave="{00000000-0000-0000-0000-000000000000}"/>
  <workbookProtection workbookAlgorithmName="SHA-512" workbookHashValue="kjOvdkodGqsgR/Sn84O001VkglGEH3/9i9gQEZds2dTKK9V1sylZy7basDSKFqZlk8JcRC1pu4uC+s832sQYAQ==" workbookSaltValue="TdAy/+G1dCZkwr2g1jLS6Q==" workbookSpinCount="100000" lockStructure="1"/>
  <bookViews>
    <workbookView xWindow="0" yWindow="880" windowWidth="34200" windowHeight="19880" xr2:uid="{6B8694AE-E0C6-4034-AE2F-2BD253A5FC39}"/>
  </bookViews>
  <sheets>
    <sheet name="1-FC and Land Use Inputs" sheetId="27" r:id="rId1"/>
    <sheet name="2-Productivity Inputs" sheetId="19" r:id="rId2"/>
    <sheet name="RESULTS" sheetId="30" r:id="rId3"/>
    <sheet name="Productivity calcs" sheetId="35" r:id="rId4"/>
    <sheet name="Opt1_NOP Tool calcs" sheetId="15" state="hidden" r:id="rId5"/>
    <sheet name="Opt2_NOP Tool calcs" sheetId="32" state="hidden" r:id="rId6"/>
    <sheet name="FC Lookups" sheetId="29" state="hidden" r:id="rId7"/>
    <sheet name="NOP Tool lookups" sheetId="7" state="hidden" r:id="rId8"/>
    <sheet name="LoS Targets" sheetId="17" state="hidden" r:id="rId9"/>
  </sheets>
  <definedNames>
    <definedName name="_xlnm.Print_Area" localSheetId="0">'1-FC and Land Use Inputs'!$A$1:$F$67</definedName>
    <definedName name="_xlnm.Print_Area" localSheetId="1">'2-Productivity Inputs'!$A$1:$E$36</definedName>
    <definedName name="_xlnm.Print_Area" localSheetId="4">'Opt1_NOP Tool calcs'!$A$1:$L$36</definedName>
    <definedName name="_xlnm.Print_Area" localSheetId="5">'Opt2_NOP Tool calcs'!$A$1:$L$36</definedName>
    <definedName name="_xlnm.Print_Area" localSheetId="2">RESULTS!$A$1:$I$60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7" i="30" l="1"/>
  <c r="A37" i="30"/>
  <c r="A31" i="30"/>
  <c r="E25" i="19" l="1"/>
  <c r="D25" i="19"/>
  <c r="C25" i="19"/>
  <c r="B25" i="19"/>
  <c r="E19" i="30" l="1"/>
  <c r="D19" i="30"/>
  <c r="C19" i="30"/>
  <c r="B19" i="30"/>
  <c r="E18" i="30"/>
  <c r="D18" i="30"/>
  <c r="C18" i="30"/>
  <c r="B18" i="30"/>
  <c r="E17" i="30"/>
  <c r="D17" i="30"/>
  <c r="C17" i="30"/>
  <c r="B17" i="30"/>
  <c r="A39" i="35"/>
  <c r="B39" i="35"/>
  <c r="F45" i="35"/>
  <c r="F43" i="35"/>
  <c r="F42" i="35"/>
  <c r="F41" i="35"/>
  <c r="F34" i="35"/>
  <c r="F33" i="35"/>
  <c r="F36" i="35"/>
  <c r="F32" i="35"/>
  <c r="F25" i="35"/>
  <c r="F24" i="35"/>
  <c r="F27" i="35"/>
  <c r="F23" i="35"/>
  <c r="A27" i="35"/>
  <c r="A36" i="35" s="1"/>
  <c r="A45" i="35" s="1"/>
  <c r="A24" i="35"/>
  <c r="A33" i="35" s="1"/>
  <c r="A42" i="35" s="1"/>
  <c r="A25" i="35"/>
  <c r="A34" i="35" s="1"/>
  <c r="A43" i="35" s="1"/>
  <c r="A26" i="35"/>
  <c r="A35" i="35" s="1"/>
  <c r="A44" i="35" s="1"/>
  <c r="A23" i="35"/>
  <c r="A32" i="35" s="1"/>
  <c r="A41" i="35" s="1"/>
  <c r="B30" i="35"/>
  <c r="F35" i="35" s="1"/>
  <c r="A30" i="35"/>
  <c r="B21" i="35"/>
  <c r="F26" i="35" s="1"/>
  <c r="A21" i="35"/>
  <c r="D18" i="35"/>
  <c r="C18" i="35"/>
  <c r="C16" i="35"/>
  <c r="C15" i="35"/>
  <c r="C14" i="35"/>
  <c r="D13" i="35"/>
  <c r="B23" i="35" s="1"/>
  <c r="B32" i="35" s="1"/>
  <c r="B41" i="35" s="1"/>
  <c r="C13" i="35"/>
  <c r="C9" i="35"/>
  <c r="C7" i="35"/>
  <c r="C6" i="35"/>
  <c r="C5" i="35"/>
  <c r="C3" i="35"/>
  <c r="C2" i="35"/>
  <c r="C1" i="35"/>
  <c r="E10" i="19"/>
  <c r="F44" i="35" l="1"/>
  <c r="G25" i="35"/>
  <c r="G35" i="35"/>
  <c r="G45" i="35"/>
  <c r="G42" i="35"/>
  <c r="G41" i="35"/>
  <c r="K41" i="35"/>
  <c r="G43" i="35"/>
  <c r="O43" i="35" s="1"/>
  <c r="G26" i="35"/>
  <c r="E13" i="35"/>
  <c r="G23" i="35"/>
  <c r="G32" i="35"/>
  <c r="B30" i="30" s="1"/>
  <c r="C4" i="35"/>
  <c r="G34" i="35"/>
  <c r="H25" i="35" l="1"/>
  <c r="H45" i="35"/>
  <c r="D23" i="35"/>
  <c r="D32" i="35" s="1"/>
  <c r="D41" i="35" s="1"/>
  <c r="L41" i="35" s="1"/>
  <c r="H41" i="35"/>
  <c r="B31" i="30"/>
  <c r="P43" i="35"/>
  <c r="P41" i="35"/>
  <c r="O41" i="35"/>
  <c r="B29" i="30"/>
  <c r="O34" i="35"/>
  <c r="P34" i="35"/>
  <c r="O35" i="35"/>
  <c r="P35" i="35"/>
  <c r="O32" i="35"/>
  <c r="P32" i="35"/>
  <c r="H34" i="35"/>
  <c r="H35" i="35"/>
  <c r="H32" i="35"/>
  <c r="H42" i="35"/>
  <c r="H43" i="35"/>
  <c r="H26" i="35"/>
  <c r="H23" i="35"/>
  <c r="G27" i="35"/>
  <c r="K32" i="35"/>
  <c r="C23" i="35"/>
  <c r="C32" i="35" s="1"/>
  <c r="C41" i="35" s="1"/>
  <c r="K23" i="35"/>
  <c r="L23" i="35" l="1"/>
  <c r="J41" i="35"/>
  <c r="P45" i="35"/>
  <c r="O45" i="35"/>
  <c r="C30" i="30"/>
  <c r="C31" i="30"/>
  <c r="L32" i="35"/>
  <c r="H27" i="35"/>
  <c r="J32" i="35"/>
  <c r="G36" i="35"/>
  <c r="O36" i="35" s="1"/>
  <c r="J23" i="35"/>
  <c r="B42" i="32"/>
  <c r="B39" i="32"/>
  <c r="AO29" i="32"/>
  <c r="AP28" i="32"/>
  <c r="AO28" i="32"/>
  <c r="C24" i="32"/>
  <c r="AE14" i="32" s="1"/>
  <c r="C23" i="32"/>
  <c r="AE13" i="32" s="1"/>
  <c r="AH19" i="32"/>
  <c r="AE19" i="32"/>
  <c r="AP29" i="32" s="1"/>
  <c r="AB19" i="32"/>
  <c r="AH18" i="32"/>
  <c r="AE18" i="32"/>
  <c r="C18" i="32"/>
  <c r="AB18" i="32" s="1"/>
  <c r="C17" i="32"/>
  <c r="AB17" i="32" s="1"/>
  <c r="C16" i="32"/>
  <c r="AB16" i="32" s="1"/>
  <c r="C15" i="32"/>
  <c r="AB15" i="32" s="1"/>
  <c r="AD15" i="32" s="1"/>
  <c r="AC15" i="32" s="1"/>
  <c r="C14" i="32"/>
  <c r="AB14" i="32" s="1"/>
  <c r="AD14" i="32" s="1"/>
  <c r="AC14" i="32" s="1"/>
  <c r="C13" i="32"/>
  <c r="AB13" i="32" s="1"/>
  <c r="AD13" i="32" s="1"/>
  <c r="AC13" i="32" s="1"/>
  <c r="C10" i="32"/>
  <c r="C9" i="32"/>
  <c r="C7" i="32"/>
  <c r="C6" i="32"/>
  <c r="AD16" i="32" l="1"/>
  <c r="AC16" i="32" s="1"/>
  <c r="AD17" i="32"/>
  <c r="AC17" i="32" s="1"/>
  <c r="P36" i="35"/>
  <c r="H36" i="35"/>
  <c r="G33" i="35"/>
  <c r="AG14" i="32"/>
  <c r="AF14" i="32"/>
  <c r="AF13" i="32"/>
  <c r="AG13" i="32"/>
  <c r="B6" i="30"/>
  <c r="B5" i="30"/>
  <c r="H4" i="30"/>
  <c r="H3" i="30"/>
  <c r="B4" i="30"/>
  <c r="B3" i="30"/>
  <c r="B5" i="19"/>
  <c r="B4" i="19"/>
  <c r="B3" i="19"/>
  <c r="H33" i="35" l="1"/>
  <c r="G24" i="35"/>
  <c r="O33" i="35" s="1"/>
  <c r="AK13" i="32"/>
  <c r="AH13" i="32"/>
  <c r="AL13" i="32"/>
  <c r="AL14" i="32"/>
  <c r="AK14" i="32"/>
  <c r="AH14" i="32"/>
  <c r="B22" i="19"/>
  <c r="B29" i="19"/>
  <c r="B10" i="19"/>
  <c r="B16" i="30"/>
  <c r="B28" i="30" s="1"/>
  <c r="C16" i="30"/>
  <c r="D16" i="30"/>
  <c r="E16" i="30"/>
  <c r="C24" i="15"/>
  <c r="C23" i="15"/>
  <c r="C18" i="15"/>
  <c r="C17" i="15"/>
  <c r="C16" i="15"/>
  <c r="C15" i="15"/>
  <c r="C14" i="15"/>
  <c r="C13" i="15"/>
  <c r="C10" i="15"/>
  <c r="C9" i="15"/>
  <c r="C7" i="15"/>
  <c r="C6" i="15"/>
  <c r="C13" i="19"/>
  <c r="I9" i="30"/>
  <c r="H9" i="30"/>
  <c r="G9" i="30"/>
  <c r="A26" i="19"/>
  <c r="A27" i="19"/>
  <c r="A25" i="30" s="1"/>
  <c r="A19" i="30" s="1"/>
  <c r="A25" i="19"/>
  <c r="A23" i="30" s="1"/>
  <c r="A17" i="30" s="1"/>
  <c r="A29" i="30" s="1"/>
  <c r="A35" i="30" s="1"/>
  <c r="C11" i="19"/>
  <c r="D16" i="35" l="1"/>
  <c r="E13" i="19"/>
  <c r="E11" i="19"/>
  <c r="D14" i="35"/>
  <c r="N37" i="35"/>
  <c r="E36" i="30" s="1"/>
  <c r="P33" i="35"/>
  <c r="P42" i="35"/>
  <c r="O42" i="35"/>
  <c r="N46" i="35"/>
  <c r="E37" i="30" s="1"/>
  <c r="G44" i="35"/>
  <c r="H24" i="35"/>
  <c r="C8" i="15"/>
  <c r="C8" i="32"/>
  <c r="AO23" i="32"/>
  <c r="AP23" i="32"/>
  <c r="AI13" i="32"/>
  <c r="AO24" i="32"/>
  <c r="AP24" i="32"/>
  <c r="AI14" i="32"/>
  <c r="AJ14" i="32" s="1"/>
  <c r="E41" i="30"/>
  <c r="B14" i="19"/>
  <c r="C17" i="35" s="1"/>
  <c r="A24" i="30"/>
  <c r="A18" i="30" s="1"/>
  <c r="A30" i="30" s="1"/>
  <c r="A36" i="30" s="1"/>
  <c r="A41" i="30" s="1"/>
  <c r="C12" i="19"/>
  <c r="E12" i="19" l="1"/>
  <c r="D15" i="35"/>
  <c r="B24" i="35"/>
  <c r="E14" i="35"/>
  <c r="E16" i="35"/>
  <c r="B26" i="35"/>
  <c r="O44" i="35"/>
  <c r="P44" i="35"/>
  <c r="H44" i="35"/>
  <c r="AJ13" i="32"/>
  <c r="C14" i="19"/>
  <c r="A3" i="19"/>
  <c r="A4" i="19"/>
  <c r="I23" i="27"/>
  <c r="C52" i="27" s="1"/>
  <c r="I19" i="27"/>
  <c r="C48" i="27" s="1"/>
  <c r="I22" i="27"/>
  <c r="C40" i="27" s="1"/>
  <c r="I21" i="27"/>
  <c r="C39" i="27" s="1"/>
  <c r="I20" i="27"/>
  <c r="C38" i="27" s="1"/>
  <c r="J13" i="27"/>
  <c r="K13" i="27" s="1"/>
  <c r="J12" i="27"/>
  <c r="K12" i="27" s="1"/>
  <c r="J11" i="27"/>
  <c r="K11" i="27" s="1"/>
  <c r="J10" i="27"/>
  <c r="K10" i="27" s="1"/>
  <c r="J9" i="27"/>
  <c r="K9" i="27" s="1"/>
  <c r="D32" i="27" l="1"/>
  <c r="D31" i="27"/>
  <c r="D30" i="27"/>
  <c r="D29" i="27"/>
  <c r="I44" i="35"/>
  <c r="D26" i="35"/>
  <c r="B33" i="35"/>
  <c r="C24" i="35"/>
  <c r="C33" i="35" s="1"/>
  <c r="C42" i="35" s="1"/>
  <c r="K24" i="35"/>
  <c r="D24" i="35"/>
  <c r="E15" i="35"/>
  <c r="B25" i="35"/>
  <c r="K26" i="35"/>
  <c r="B35" i="35"/>
  <c r="C26" i="35"/>
  <c r="C35" i="35" s="1"/>
  <c r="C44" i="35" s="1"/>
  <c r="D17" i="35"/>
  <c r="E14" i="19"/>
  <c r="E15" i="19" s="1"/>
  <c r="I32" i="35"/>
  <c r="I23" i="35"/>
  <c r="B23" i="30" s="1"/>
  <c r="I41" i="35"/>
  <c r="L32" i="27"/>
  <c r="I34" i="35"/>
  <c r="E24" i="30" s="1"/>
  <c r="I35" i="35"/>
  <c r="I43" i="35"/>
  <c r="E25" i="30" s="1"/>
  <c r="I42" i="35"/>
  <c r="I26" i="35"/>
  <c r="I45" i="35"/>
  <c r="I27" i="35"/>
  <c r="C23" i="30" s="1"/>
  <c r="I25" i="35"/>
  <c r="E23" i="30" s="1"/>
  <c r="I36" i="35"/>
  <c r="I33" i="35"/>
  <c r="I24" i="35"/>
  <c r="D23" i="30" s="1"/>
  <c r="B16" i="19"/>
  <c r="B44" i="35" l="1"/>
  <c r="K44" i="35" s="1"/>
  <c r="K35" i="35"/>
  <c r="E17" i="35"/>
  <c r="B27" i="35"/>
  <c r="D33" i="35"/>
  <c r="J24" i="35"/>
  <c r="L24" i="35"/>
  <c r="C25" i="35"/>
  <c r="C34" i="35" s="1"/>
  <c r="C43" i="35" s="1"/>
  <c r="B34" i="35"/>
  <c r="K25" i="35"/>
  <c r="B42" i="35"/>
  <c r="K33" i="35"/>
  <c r="D25" i="35"/>
  <c r="D35" i="35"/>
  <c r="L26" i="35"/>
  <c r="J26" i="35"/>
  <c r="C24" i="30"/>
  <c r="D27" i="15"/>
  <c r="B25" i="30"/>
  <c r="D25" i="32"/>
  <c r="AG15" i="32" s="1"/>
  <c r="D24" i="30"/>
  <c r="D26" i="15"/>
  <c r="D25" i="30"/>
  <c r="D26" i="32"/>
  <c r="C25" i="30"/>
  <c r="D27" i="32"/>
  <c r="B24" i="30"/>
  <c r="D25" i="15"/>
  <c r="C27" i="15"/>
  <c r="C27" i="32"/>
  <c r="AE17" i="32" s="1"/>
  <c r="AF17" i="32" s="1"/>
  <c r="C25" i="15"/>
  <c r="C25" i="32"/>
  <c r="AE15" i="32" s="1"/>
  <c r="AF15" i="32" s="1"/>
  <c r="C26" i="15"/>
  <c r="C26" i="32"/>
  <c r="AE16" i="32" s="1"/>
  <c r="L31" i="27"/>
  <c r="L30" i="27"/>
  <c r="L29" i="27"/>
  <c r="L28" i="27"/>
  <c r="L27" i="27"/>
  <c r="J31" i="27"/>
  <c r="J32" i="27" s="1"/>
  <c r="K32" i="27" s="1"/>
  <c r="M32" i="27" s="1"/>
  <c r="F32" i="27" s="1"/>
  <c r="I32" i="27" s="1"/>
  <c r="J30" i="27"/>
  <c r="J29" i="27"/>
  <c r="K29" i="27" s="1"/>
  <c r="E29" i="27" s="1"/>
  <c r="J28" i="27"/>
  <c r="K28" i="27" s="1"/>
  <c r="J27" i="27"/>
  <c r="K27" i="27" s="1"/>
  <c r="AB17" i="15"/>
  <c r="AB16" i="15"/>
  <c r="AB15" i="15"/>
  <c r="AB14" i="15"/>
  <c r="AB13" i="15"/>
  <c r="C45" i="27" l="1"/>
  <c r="C53" i="27" s="1"/>
  <c r="K42" i="35"/>
  <c r="D42" i="35"/>
  <c r="J33" i="35"/>
  <c r="L33" i="35"/>
  <c r="C27" i="35"/>
  <c r="C36" i="35" s="1"/>
  <c r="C45" i="35" s="1"/>
  <c r="K27" i="35"/>
  <c r="K28" i="35" s="1"/>
  <c r="D35" i="30" s="1"/>
  <c r="B36" i="35"/>
  <c r="B28" i="35"/>
  <c r="C28" i="35" s="1"/>
  <c r="B43" i="35"/>
  <c r="K43" i="35" s="1"/>
  <c r="K34" i="35"/>
  <c r="D44" i="35"/>
  <c r="J35" i="35"/>
  <c r="L35" i="35"/>
  <c r="D27" i="35"/>
  <c r="E18" i="35"/>
  <c r="D34" i="35"/>
  <c r="J25" i="35"/>
  <c r="L25" i="35"/>
  <c r="AK15" i="32"/>
  <c r="AH15" i="32"/>
  <c r="AL15" i="32"/>
  <c r="AF16" i="32"/>
  <c r="K30" i="27"/>
  <c r="E30" i="27" s="1"/>
  <c r="K31" i="27"/>
  <c r="M31" i="27" s="1"/>
  <c r="F31" i="27" s="1"/>
  <c r="E28" i="27"/>
  <c r="M28" i="27"/>
  <c r="E27" i="27"/>
  <c r="M27" i="27"/>
  <c r="M29" i="27"/>
  <c r="F29" i="27" s="1"/>
  <c r="J42" i="35" l="1"/>
  <c r="L42" i="35"/>
  <c r="B45" i="35"/>
  <c r="K45" i="35" s="1"/>
  <c r="K46" i="35" s="1"/>
  <c r="D37" i="30" s="1"/>
  <c r="K36" i="35"/>
  <c r="K37" i="35" s="1"/>
  <c r="D36" i="30" s="1"/>
  <c r="B37" i="35"/>
  <c r="C37" i="35" s="1"/>
  <c r="D43" i="35"/>
  <c r="J34" i="35"/>
  <c r="L34" i="35"/>
  <c r="F13" i="35"/>
  <c r="F14" i="35"/>
  <c r="E24" i="35" s="1"/>
  <c r="E33" i="35" s="1"/>
  <c r="E42" i="35" s="1"/>
  <c r="F16" i="35"/>
  <c r="E26" i="35" s="1"/>
  <c r="E35" i="35" s="1"/>
  <c r="E44" i="35" s="1"/>
  <c r="F15" i="35"/>
  <c r="E25" i="35" s="1"/>
  <c r="E34" i="35" s="1"/>
  <c r="E43" i="35" s="1"/>
  <c r="D36" i="35"/>
  <c r="J27" i="35"/>
  <c r="J28" i="35" s="1"/>
  <c r="B35" i="30" s="1"/>
  <c r="C37" i="30" s="1"/>
  <c r="L27" i="35"/>
  <c r="L28" i="35" s="1"/>
  <c r="D28" i="35"/>
  <c r="E28" i="35" s="1"/>
  <c r="J44" i="35"/>
  <c r="L44" i="35"/>
  <c r="F17" i="35"/>
  <c r="E27" i="35" s="1"/>
  <c r="E36" i="35" s="1"/>
  <c r="E45" i="35" s="1"/>
  <c r="G37" i="35"/>
  <c r="D37" i="35"/>
  <c r="E37" i="35" s="1"/>
  <c r="G28" i="35"/>
  <c r="AI15" i="32"/>
  <c r="AJ15" i="32" s="1"/>
  <c r="AP25" i="32"/>
  <c r="AO25" i="32"/>
  <c r="AF21" i="32"/>
  <c r="I31" i="27"/>
  <c r="I10" i="30"/>
  <c r="I11" i="30" s="1"/>
  <c r="I29" i="27"/>
  <c r="G10" i="30"/>
  <c r="G11" i="30" s="1"/>
  <c r="E31" i="27"/>
  <c r="E32" i="27" s="1"/>
  <c r="M30" i="27"/>
  <c r="F30" i="27" s="1"/>
  <c r="I52" i="27"/>
  <c r="I48" i="27"/>
  <c r="I44" i="27"/>
  <c r="I38" i="27"/>
  <c r="C41" i="27" s="1"/>
  <c r="E46" i="35" l="1"/>
  <c r="E23" i="35"/>
  <c r="E32" i="35" s="1"/>
  <c r="E41" i="35" s="1"/>
  <c r="F18" i="35"/>
  <c r="D45" i="35"/>
  <c r="J36" i="35"/>
  <c r="J37" i="35" s="1"/>
  <c r="L36" i="35"/>
  <c r="L37" i="35" s="1"/>
  <c r="D30" i="30" s="1"/>
  <c r="J43" i="35"/>
  <c r="L43" i="35"/>
  <c r="D29" i="30"/>
  <c r="B46" i="35"/>
  <c r="C46" i="35" s="1"/>
  <c r="I30" i="27"/>
  <c r="H10" i="30"/>
  <c r="H11" i="30" s="1"/>
  <c r="A10" i="30" s="1"/>
  <c r="C46" i="27"/>
  <c r="C50" i="27" s="1"/>
  <c r="C54" i="27" s="1"/>
  <c r="B36" i="30" l="1"/>
  <c r="M37" i="35"/>
  <c r="J45" i="35"/>
  <c r="J46" i="35" s="1"/>
  <c r="M46" i="35" s="1"/>
  <c r="L45" i="35"/>
  <c r="L46" i="35" s="1"/>
  <c r="D31" i="30" s="1"/>
  <c r="D46" i="35"/>
  <c r="G46" i="35"/>
  <c r="E30" i="30"/>
  <c r="A34" i="27"/>
  <c r="B11" i="30" s="1"/>
  <c r="C56" i="27"/>
  <c r="AG17" i="32" l="1"/>
  <c r="AL17" i="32" s="1"/>
  <c r="E31" i="30"/>
  <c r="AG16" i="32"/>
  <c r="B12" i="30"/>
  <c r="B6" i="19"/>
  <c r="D38" i="30" a="1"/>
  <c r="D38" i="30" s="1"/>
  <c r="F35" i="30" s="1"/>
  <c r="AH17" i="32" l="1"/>
  <c r="AP27" i="32" s="1"/>
  <c r="AK17" i="32"/>
  <c r="AH16" i="32"/>
  <c r="AL16" i="32"/>
  <c r="AL21" i="32" s="1"/>
  <c r="AK16" i="32"/>
  <c r="AO27" i="32" l="1"/>
  <c r="AI17" i="32"/>
  <c r="AJ17" i="32" s="1"/>
  <c r="AI16" i="32"/>
  <c r="AJ16" i="32" s="1"/>
  <c r="AO26" i="32"/>
  <c r="AP26" i="32"/>
  <c r="AK21" i="32"/>
  <c r="AB39" i="32" s="1"/>
  <c r="AC39" i="32" s="1"/>
  <c r="C36" i="30"/>
  <c r="AI21" i="32" l="1"/>
  <c r="L39" i="32"/>
  <c r="AB41" i="32"/>
  <c r="L41" i="32" s="1"/>
  <c r="AJ21" i="32"/>
  <c r="AB43" i="32" l="1"/>
  <c r="AB40" i="32"/>
  <c r="AH18" i="15"/>
  <c r="B39" i="15"/>
  <c r="B42" i="15"/>
  <c r="AH19" i="15"/>
  <c r="Q11" i="7"/>
  <c r="W5" i="7"/>
  <c r="W6" i="7"/>
  <c r="W7" i="7"/>
  <c r="W8" i="7"/>
  <c r="W9" i="7"/>
  <c r="W4" i="7"/>
  <c r="Q10" i="7"/>
  <c r="Q9" i="7"/>
  <c r="Q8" i="7"/>
  <c r="Q7" i="7"/>
  <c r="Q6" i="7"/>
  <c r="Q5" i="7"/>
  <c r="Q4" i="7"/>
  <c r="K10" i="7"/>
  <c r="K9" i="7"/>
  <c r="K8" i="7"/>
  <c r="K7" i="7"/>
  <c r="K6" i="7"/>
  <c r="K5" i="7"/>
  <c r="K4" i="7"/>
  <c r="E9" i="7"/>
  <c r="E8" i="7"/>
  <c r="E7" i="7"/>
  <c r="E6" i="7"/>
  <c r="E5" i="7"/>
  <c r="E4" i="7"/>
  <c r="AB7" i="7"/>
  <c r="AB6" i="7"/>
  <c r="AB5" i="7"/>
  <c r="AB4" i="7"/>
  <c r="AB42" i="32" l="1"/>
  <c r="AC40" i="32"/>
  <c r="L40" i="32"/>
  <c r="L43" i="32"/>
  <c r="AC43" i="32"/>
  <c r="AB19" i="15"/>
  <c r="AB18" i="15"/>
  <c r="AC42" i="32" l="1"/>
  <c r="AC45" i="32" s="1"/>
  <c r="I23" i="32" s="1"/>
  <c r="G60" i="30" s="1"/>
  <c r="L42" i="32"/>
  <c r="AE13" i="15"/>
  <c r="AG13" i="15" s="1"/>
  <c r="AH13" i="15" s="1"/>
  <c r="AE14" i="15"/>
  <c r="AG14" i="15" s="1"/>
  <c r="AH14" i="15" s="1"/>
  <c r="AE15" i="15"/>
  <c r="AG15" i="15" s="1"/>
  <c r="AH15" i="15" s="1"/>
  <c r="AE16" i="15"/>
  <c r="AG16" i="15" s="1"/>
  <c r="AH16" i="15" s="1"/>
  <c r="AE17" i="15"/>
  <c r="AG17" i="15" s="1"/>
  <c r="AH17" i="15" s="1"/>
  <c r="AE18" i="15"/>
  <c r="AE19" i="15"/>
  <c r="AB44" i="32" l="1"/>
  <c r="AO26" i="15"/>
  <c r="AP26" i="15"/>
  <c r="AO25" i="15"/>
  <c r="AP25" i="15"/>
  <c r="AP24" i="15"/>
  <c r="AO24" i="15"/>
  <c r="AO28" i="15"/>
  <c r="AP28" i="15"/>
  <c r="AO23" i="15"/>
  <c r="AP23" i="15"/>
  <c r="AP27" i="15"/>
  <c r="AO27" i="15"/>
  <c r="AO29" i="15"/>
  <c r="AP29" i="15"/>
  <c r="AL15" i="15"/>
  <c r="AL16" i="15"/>
  <c r="AL14" i="15"/>
  <c r="AL17" i="15"/>
  <c r="AL13" i="15"/>
  <c r="AK13" i="15"/>
  <c r="AK14" i="15"/>
  <c r="AK17" i="15"/>
  <c r="AK16" i="15"/>
  <c r="AK15" i="15"/>
  <c r="C19" i="7"/>
  <c r="C18" i="7"/>
  <c r="U4" i="7"/>
  <c r="AC44" i="32" l="1"/>
  <c r="L44" i="32"/>
  <c r="AK21" i="15"/>
  <c r="AL21" i="15"/>
  <c r="B18" i="7"/>
  <c r="AB39" i="15" l="1"/>
  <c r="AC39" i="15" s="1"/>
  <c r="L39" i="15" l="1"/>
  <c r="AD13" i="15" l="1"/>
  <c r="AI13" i="15" s="1"/>
  <c r="AD16" i="15"/>
  <c r="AD17" i="15"/>
  <c r="AD15" i="15"/>
  <c r="AD14" i="15"/>
  <c r="AI14" i="15" s="1"/>
  <c r="AI15" i="15" l="1"/>
  <c r="AI17" i="15"/>
  <c r="AI16" i="15"/>
  <c r="AF15" i="15"/>
  <c r="AF13" i="15"/>
  <c r="AC13" i="15"/>
  <c r="AF14" i="15"/>
  <c r="AC14" i="15"/>
  <c r="AC17" i="15"/>
  <c r="AF17" i="15"/>
  <c r="AF16" i="15"/>
  <c r="AC16" i="15"/>
  <c r="AC15" i="15"/>
  <c r="AJ16" i="15" l="1"/>
  <c r="AJ15" i="15"/>
  <c r="AI21" i="15"/>
  <c r="AJ14" i="15"/>
  <c r="AJ13" i="15"/>
  <c r="AF21" i="15"/>
  <c r="AJ17" i="15"/>
  <c r="AB41" i="15" l="1"/>
  <c r="L41" i="15" s="1"/>
  <c r="AJ21" i="15"/>
  <c r="AB43" i="15" l="1"/>
  <c r="AB40" i="15"/>
  <c r="AC40" i="15" l="1"/>
  <c r="AB42" i="15"/>
  <c r="L40" i="15"/>
  <c r="AC43" i="15"/>
  <c r="L43" i="15"/>
  <c r="L42" i="15" l="1"/>
  <c r="AC42" i="15"/>
  <c r="AB44" i="15" s="1"/>
  <c r="AC45" i="15" l="1"/>
  <c r="I23" i="15" s="1"/>
  <c r="B60" i="30" s="1"/>
  <c r="L44" i="15"/>
  <c r="AC4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tc={17A7C593-5FDD-4476-8C37-4C90410ABEDD}</author>
  </authors>
  <commentList>
    <comment ref="K6" authorId="0" shapeId="0" xr:uid="{17A7C593-5FDD-4476-8C37-4C90410ABEDD}">
      <text>
        <t>[Threaded comment]
Your version of Excel allows you to read this threaded comment; however, any edits to it will get removed if the file is opened in a newer version of Excel. Learn more: https://go.microsoft.com/fwlink/?linkid=870924
Comment:
    ANO has target of D for peaks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tc={96E19759-F397-4A29-85BD-D508B8A9B967}</author>
    <author>tc={6FE9F309-2026-4CAC-A3CF-11E03EF33B1D}</author>
  </authors>
  <commentList>
    <comment ref="N17" authorId="0" shapeId="0" xr:uid="{96E19759-F397-4A29-85BD-D508B8A9B967}">
      <text>
        <t>[Threaded comment]
Your version of Excel allows you to read this threaded comment; however, any edits to it will get removed if the file is opened in a newer version of Excel. Learn more: https://go.microsoft.com/fwlink/?linkid=870924
Comment:
    E feels too low for an FTN</t>
      </text>
    </comment>
    <comment ref="O23" authorId="1" shapeId="0" xr:uid="{6FE9F309-2026-4CAC-A3CF-11E03EF33B1D}">
      <text>
        <t>[Threaded comment]
Your version of Excel allows you to read this threaded comment; however, any edits to it will get removed if the file is opened in a newer version of Excel. Learn more: https://go.microsoft.com/fwlink/?linkid=870924
Comment:
    Shouldn't freight get a better LoS during interpeak on the Freight network?</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<sst xmlns="http://schemas.openxmlformats.org/spreadsheetml/2006/main" count="872" uniqueCount="397">
  <si>
    <t>General Traffic</t>
  </si>
  <si>
    <t>C</t>
  </si>
  <si>
    <t>D</t>
  </si>
  <si>
    <t>B</t>
  </si>
  <si>
    <t>Public Transport</t>
  </si>
  <si>
    <t>Freight</t>
  </si>
  <si>
    <t>Walking</t>
  </si>
  <si>
    <t>Secondary Arterial</t>
  </si>
  <si>
    <t>Secondary</t>
  </si>
  <si>
    <t>Major</t>
  </si>
  <si>
    <t>E</t>
  </si>
  <si>
    <t>Mode</t>
  </si>
  <si>
    <t>Strategic network type</t>
  </si>
  <si>
    <t>LOS AM peak</t>
  </si>
  <si>
    <t>LOS Off Peak</t>
  </si>
  <si>
    <t>LOS PM Peak</t>
  </si>
  <si>
    <t>Primary</t>
  </si>
  <si>
    <t>Motorway</t>
  </si>
  <si>
    <t>Level 1A</t>
  </si>
  <si>
    <t>Level 1B</t>
  </si>
  <si>
    <t>Regional</t>
  </si>
  <si>
    <t>M</t>
  </si>
  <si>
    <t>L</t>
  </si>
  <si>
    <t>H</t>
  </si>
  <si>
    <t>Neutral</t>
  </si>
  <si>
    <t>Project Name</t>
  </si>
  <si>
    <t>Option Ref.</t>
  </si>
  <si>
    <t>Date of assessment</t>
  </si>
  <si>
    <t>Location</t>
  </si>
  <si>
    <t>Assessor name</t>
  </si>
  <si>
    <t>Notes</t>
  </si>
  <si>
    <t>Conclusions</t>
  </si>
  <si>
    <t>Project information</t>
  </si>
  <si>
    <t>Strategic Networks &amp; Land Use</t>
  </si>
  <si>
    <t>Cycle &amp; Micro-Mobility</t>
  </si>
  <si>
    <t>Connector</t>
  </si>
  <si>
    <t>Land Use</t>
  </si>
  <si>
    <t>Rapid Transit Network</t>
  </si>
  <si>
    <t>Other Strategic PT Corridor</t>
  </si>
  <si>
    <t>Connector Transit Network</t>
  </si>
  <si>
    <t>Local Transit Network</t>
  </si>
  <si>
    <t>Peak Transit Network</t>
  </si>
  <si>
    <t>Level 2</t>
  </si>
  <si>
    <t>Level 3</t>
  </si>
  <si>
    <t>Strategic Arterial</t>
  </si>
  <si>
    <t>Primary Arterial</t>
  </si>
  <si>
    <t>Collector</t>
  </si>
  <si>
    <t>Local Roads and Others</t>
  </si>
  <si>
    <t>Tertiary</t>
  </si>
  <si>
    <t>Private Roads</t>
  </si>
  <si>
    <t>Project Impact</t>
  </si>
  <si>
    <t>Positive</t>
  </si>
  <si>
    <t>Negative</t>
  </si>
  <si>
    <t>None</t>
  </si>
  <si>
    <t>Fit Assessment Result</t>
  </si>
  <si>
    <t>Evaluation Type</t>
  </si>
  <si>
    <t>Simple</t>
  </si>
  <si>
    <t>Simple + Volumes</t>
  </si>
  <si>
    <t>LoS Evaluation</t>
  </si>
  <si>
    <t>LoS Evaluation + Volumes</t>
  </si>
  <si>
    <t>Cycle</t>
  </si>
  <si>
    <t>A</t>
  </si>
  <si>
    <t>F</t>
  </si>
  <si>
    <t>Default Values</t>
  </si>
  <si>
    <t>Yes</t>
  </si>
  <si>
    <t>Moderately positive</t>
  </si>
  <si>
    <t>Moderately negative</t>
  </si>
  <si>
    <t>Heirarchy</t>
  </si>
  <si>
    <t>RPF</t>
  </si>
  <si>
    <t>Pass/Fail</t>
  </si>
  <si>
    <t>Any other result</t>
  </si>
  <si>
    <t>Simple Assessment Result</t>
  </si>
  <si>
    <t>Criteria</t>
  </si>
  <si>
    <t>Likely Emissions Outcomes</t>
  </si>
  <si>
    <t>High likelihood of supporting the intent of the Auckland Network Operating Plan (ANOP) and Future Connect</t>
  </si>
  <si>
    <t>Moderate likelihood of supporting the Auckland Network Operating Plan (ANOP) and Future Connect</t>
  </si>
  <si>
    <t>Low likelihood of supporting the Auckland Network Operating Plan (ANOP) and Future Connect</t>
  </si>
  <si>
    <t>Leisure</t>
  </si>
  <si>
    <t>Local</t>
  </si>
  <si>
    <t>Sports</t>
  </si>
  <si>
    <t>Overweight &amp; Overdimension only</t>
  </si>
  <si>
    <t>Overdimension only</t>
  </si>
  <si>
    <t>Overweight only</t>
  </si>
  <si>
    <t>Roads and Streets Framework Modal Priorities</t>
  </si>
  <si>
    <t>N/A</t>
  </si>
  <si>
    <t>Loading</t>
  </si>
  <si>
    <t>Parking</t>
  </si>
  <si>
    <t>NA</t>
  </si>
  <si>
    <t>Functionality to be added</t>
  </si>
  <si>
    <t>Future Connect Fit Assessment Result</t>
  </si>
  <si>
    <t>Roads and Streets Framework Fit Assessment Result</t>
  </si>
  <si>
    <t>High likelihood of supporting the intent of the Auckland Network Operating Plan (ANOP) and Roads and Streets Framework Priorities</t>
  </si>
  <si>
    <t>Moderate likelihood of supporting the Auckland Network Operating Plan (ANOP) and Roads and Streets Framework Priorities</t>
  </si>
  <si>
    <t>Low likelihood of supporting the Auckland Network Operating Plan (ANOP) and Roads and Streets Framework Priorities</t>
  </si>
  <si>
    <t>Typical peak volumes (/h)</t>
  </si>
  <si>
    <t>200-500</t>
  </si>
  <si>
    <t>100-300</t>
  </si>
  <si>
    <t>0-20</t>
  </si>
  <si>
    <t>20-60</t>
  </si>
  <si>
    <t>20-50</t>
  </si>
  <si>
    <t>50-100</t>
  </si>
  <si>
    <t>Modal Factors</t>
  </si>
  <si>
    <t>Other Lookup Values</t>
  </si>
  <si>
    <t>60-120</t>
  </si>
  <si>
    <t>10-20</t>
  </si>
  <si>
    <t>4-10</t>
  </si>
  <si>
    <t>2-6</t>
  </si>
  <si>
    <t>100-200</t>
  </si>
  <si>
    <t>30-50</t>
  </si>
  <si>
    <t>20-30</t>
  </si>
  <si>
    <t>0-10</t>
  </si>
  <si>
    <t>4000-8000</t>
  </si>
  <si>
    <t>2000-4000</t>
  </si>
  <si>
    <t>1000-2000</t>
  </si>
  <si>
    <t>500-1000</t>
  </si>
  <si>
    <t>250-500</t>
  </si>
  <si>
    <t>0-250</t>
  </si>
  <si>
    <t>Walking Volume multiplier</t>
  </si>
  <si>
    <t>200-400</t>
  </si>
  <si>
    <t>0-50</t>
  </si>
  <si>
    <t>Occupancy (people or people equivalent for freight)</t>
  </si>
  <si>
    <t>Value of time ($/hr) from MBCM tables 13 &amp; 15</t>
  </si>
  <si>
    <t>Project impact</t>
  </si>
  <si>
    <t>LoS Target</t>
  </si>
  <si>
    <t>Outcome</t>
  </si>
  <si>
    <t>F-</t>
  </si>
  <si>
    <t>A +</t>
  </si>
  <si>
    <t>Graph axis headings</t>
  </si>
  <si>
    <t>Walk</t>
  </si>
  <si>
    <t>PT</t>
  </si>
  <si>
    <t>Gnrl Trfc</t>
  </si>
  <si>
    <t>Network Hierarchy
(Future Connect First Decade)</t>
  </si>
  <si>
    <t>FC Level of service</t>
  </si>
  <si>
    <t>RASF Level of service</t>
  </si>
  <si>
    <t>Assessed LoS Score</t>
  </si>
  <si>
    <t>Difference - Base to Assessed</t>
  </si>
  <si>
    <t>Observed and Assessed Levels of Service</t>
  </si>
  <si>
    <t>Loading    * placeholder *</t>
  </si>
  <si>
    <t>Parking    * placeholder *</t>
  </si>
  <si>
    <t>PEDESTRIANS</t>
  </si>
  <si>
    <t>CYCLE</t>
  </si>
  <si>
    <t>PUBLIC TRANSPORT</t>
  </si>
  <si>
    <t>FREIGHT</t>
  </si>
  <si>
    <t>GENERAL TRAFFIC</t>
  </si>
  <si>
    <t>DRAFT Minimum Acceptable LoS</t>
  </si>
  <si>
    <t>LoS Targets
(from ANOP 2021/24)</t>
  </si>
  <si>
    <t>Healthcare facility, hospital</t>
  </si>
  <si>
    <t>Residential - Single House, Mixed Housing Suburban, Mixed Housing Urban</t>
  </si>
  <si>
    <t>Residential - Large Lot, Rural and Coastal Settlement</t>
  </si>
  <si>
    <t xml:space="preserve">Arena / Stadium, Major Recreational Facility, </t>
  </si>
  <si>
    <t>RTN Station, Bus Interchange, Ferry Terminals</t>
  </si>
  <si>
    <t>Centre - City Centre &amp; Metropolitan Centre</t>
  </si>
  <si>
    <t>Centre - Town &amp; Local Centre Zone</t>
  </si>
  <si>
    <t>Centre - Neighbourhood Centre Zone</t>
  </si>
  <si>
    <t>Residential - Terraced Housing and Apartment Blocks</t>
  </si>
  <si>
    <t>Others</t>
  </si>
  <si>
    <t>Education - Tertiary Institures, Primary and Secondary School</t>
  </si>
  <si>
    <t>Not used</t>
  </si>
  <si>
    <t>Impact on LoS for Freight and GT</t>
  </si>
  <si>
    <t>Yellow = values to be reviewed &amp; confirmed</t>
  </si>
  <si>
    <t>No</t>
  </si>
  <si>
    <t>Very Positive</t>
  </si>
  <si>
    <t>Business - Mixed Use Zone, General Business, Business Park, Heavy Industry, Light Industry, Freight Areas</t>
  </si>
  <si>
    <t>Land Use (AUP)</t>
  </si>
  <si>
    <t>Adjusted Assessed LoS Score</t>
  </si>
  <si>
    <t>Primary ^</t>
  </si>
  <si>
    <t>Secondary ^</t>
  </si>
  <si>
    <t>^ from ANOP 2021/24</t>
  </si>
  <si>
    <t>Regional ^</t>
  </si>
  <si>
    <t>Rapid Transit ^</t>
  </si>
  <si>
    <t>Frequent Transit 1 ^</t>
  </si>
  <si>
    <t>Frequent Transit 2 ^</t>
  </si>
  <si>
    <t>Level 1A * ^</t>
  </si>
  <si>
    <t>Level 1B * ^</t>
  </si>
  <si>
    <t>Motorway ^</t>
  </si>
  <si>
    <t>Strategic and Primary Arterial * ^</t>
  </si>
  <si>
    <t>Secondary Arterial * ^</t>
  </si>
  <si>
    <t>Major ^</t>
  </si>
  <si>
    <t>Level 2 *</t>
  </si>
  <si>
    <t>Level 3 *</t>
  </si>
  <si>
    <t>Overweight &amp; Overdimension only *</t>
  </si>
  <si>
    <t>Overdimension only *</t>
  </si>
  <si>
    <t>Overweight only *</t>
  </si>
  <si>
    <t>None *</t>
  </si>
  <si>
    <t>Collector *</t>
  </si>
  <si>
    <t>Local Roads and Others *</t>
  </si>
  <si>
    <t xml:space="preserve">* General and Freight traffic routes within activity centres, or where provision for PT and/or active modes demand higher priority, lower LOS for general traffic will apply. </t>
  </si>
  <si>
    <t>Acceptable Target LoS (base)</t>
  </si>
  <si>
    <t>Acceptable Target LoS (adjusted)</t>
  </si>
  <si>
    <t>Acceptable Target LoS Score (adjusted)</t>
  </si>
  <si>
    <t>Observed LoS Score</t>
  </si>
  <si>
    <t>Observed LoS Deficit to Acceptable Target LoS</t>
  </si>
  <si>
    <t>Assessed LoS Deficit to Acceptable Target LoS</t>
  </si>
  <si>
    <t>Totals</t>
  </si>
  <si>
    <t>Change in deficit to Acceptable target LoS</t>
  </si>
  <si>
    <t>High likelihood</t>
  </si>
  <si>
    <t>Med likelihood</t>
  </si>
  <si>
    <t>Low Likelihood</t>
  </si>
  <si>
    <t>Mode is improved</t>
  </si>
  <si>
    <t>Acceptable Target LoS</t>
  </si>
  <si>
    <t>Manually enter Acceptable Target LoS?</t>
  </si>
  <si>
    <t>b. No change to overall LoS deficit to acceptable targets and at least one mode LoS is improved</t>
  </si>
  <si>
    <t>c. No single mode LoS deteriorates and is below acceptable target LoS</t>
  </si>
  <si>
    <r>
      <t xml:space="preserve">a. At least one mode LoS is improved and no mode LoS deteriorates,            </t>
    </r>
    <r>
      <rPr>
        <b/>
        <sz val="11"/>
        <color theme="1"/>
        <rFont val="Calibri Light"/>
        <family val="2"/>
      </rPr>
      <t>OR</t>
    </r>
  </si>
  <si>
    <r>
      <t xml:space="preserve">b. Sum of LoS deficits to acceptable targets is reduced,                                       </t>
    </r>
    <r>
      <rPr>
        <b/>
        <sz val="11"/>
        <color theme="1"/>
        <rFont val="Calibri Light"/>
        <family val="2"/>
      </rPr>
      <t>AND</t>
    </r>
  </si>
  <si>
    <r>
      <t xml:space="preserve">a. Sum of LoS deficits to acceptable targets is reduced,                                         </t>
    </r>
    <r>
      <rPr>
        <b/>
        <sz val="11"/>
        <color theme="1"/>
        <rFont val="Calibri Light"/>
        <family val="2"/>
      </rPr>
      <t>OR</t>
    </r>
  </si>
  <si>
    <t>Mode deteriorates</t>
  </si>
  <si>
    <t>Assessed Project Impact
(Impact or LoS*)</t>
  </si>
  <si>
    <t>Observed LoS*</t>
  </si>
  <si>
    <t>Application of the Auckland Network Operating Plan, August 2022</t>
  </si>
  <si>
    <t>* For Level of Service Definitions for each mode please refer to pages 10 and 11 of</t>
  </si>
  <si>
    <t>This assessment tool is designed to provide an indicative evaluation of whether a project or option is well aligned with AT's strategic direction (including the Auckland Network Operating Plan, Future Connect and the Roads and Streets Framework).
This is not intended to be used to rank projects or options, nor provide an indication of value for money, but it will show whether the project is taking us in the right direction and will show what modes the project it is addressing.
The evaluation of project impacts should be carried out in consultation with relevant subject matter experts.</t>
  </si>
  <si>
    <t>Click here for more information about the Auckland Network Operating Plan</t>
  </si>
  <si>
    <t>Click here for more information on Future Connect - Auckland Transport's Network Plan</t>
  </si>
  <si>
    <t>Additional notes</t>
  </si>
  <si>
    <t>Auckland Network Operating Plan - Simple Assessment Tool Beta v6.2</t>
  </si>
  <si>
    <t>Walking - LoS E, pedestrian delay assumed at over 45s, footpath less than 1.8m wide and adjacent to the traffic lane with no buffer.
Cycling - shared traffic environment with high volumes
All vehicles before - Average speeds across AM, interpeak and PM were 16.5km/h (LoS E), based on surveys between Ellerslie Panmure Highway and Poprtage Road
After speeds are based on modelling
General Traffic after - the general lane operates at LoS F, but T2 vehicles run at LoS D, so E selected as a mid-point. People movement productivity also improves.</t>
  </si>
  <si>
    <t>Option</t>
  </si>
  <si>
    <t>Freight productivity impact (%)</t>
  </si>
  <si>
    <t>Number of lanes</t>
  </si>
  <si>
    <t>Total</t>
  </si>
  <si>
    <t>T1 Vehicle</t>
  </si>
  <si>
    <t>T2 Vehicle</t>
  </si>
  <si>
    <t>T3+ Vehicle</t>
  </si>
  <si>
    <t xml:space="preserve">Bus </t>
  </si>
  <si>
    <t>Route Name</t>
  </si>
  <si>
    <t>HV + T2 Lane</t>
  </si>
  <si>
    <t>Travel Time impact (%)</t>
  </si>
  <si>
    <t>Travel Time saving (min)</t>
  </si>
  <si>
    <t>Ppl movement productivity impact (%)</t>
  </si>
  <si>
    <t>Productivity</t>
  </si>
  <si>
    <t>LOS</t>
  </si>
  <si>
    <t>Travel Time (min)</t>
  </si>
  <si>
    <t xml:space="preserve">% of total </t>
  </si>
  <si>
    <t>Person-trips</t>
  </si>
  <si>
    <t>Volume</t>
  </si>
  <si>
    <t>HV + Bus Lane</t>
  </si>
  <si>
    <t>HV + T3 Lane</t>
  </si>
  <si>
    <t>Bus Lane</t>
  </si>
  <si>
    <t>T3 Lane</t>
  </si>
  <si>
    <t>T2 Lane</t>
  </si>
  <si>
    <t>% of total person trips</t>
  </si>
  <si>
    <t>Existing split per vehicle type</t>
  </si>
  <si>
    <t>Freight Weighting</t>
  </si>
  <si>
    <t>Bus Occupancy/Capacity</t>
  </si>
  <si>
    <t>Time period</t>
  </si>
  <si>
    <t>Route Length (km)</t>
  </si>
  <si>
    <t>Direction of travel</t>
  </si>
  <si>
    <t>Step 4</t>
  </si>
  <si>
    <t>Step 3</t>
  </si>
  <si>
    <t>Step 2</t>
  </si>
  <si>
    <t>POTENTIAL OPTIONS</t>
  </si>
  <si>
    <t>Step 1</t>
  </si>
  <si>
    <t>&lt;0.3</t>
  </si>
  <si>
    <t>&gt;2.0</t>
  </si>
  <si>
    <t>≤2.0</t>
  </si>
  <si>
    <t>≤1.7</t>
  </si>
  <si>
    <t>≤1.5</t>
  </si>
  <si>
    <t>≤1.3</t>
  </si>
  <si>
    <t>≤1.1</t>
  </si>
  <si>
    <t>Speed LoS as a proportion of speed limit</t>
  </si>
  <si>
    <t>Tick box</t>
  </si>
  <si>
    <t>HV Lane</t>
  </si>
  <si>
    <t>Bus, T3 or T2 Lane</t>
  </si>
  <si>
    <t>Bus or T3 Lane</t>
  </si>
  <si>
    <t>T3 or T2 Lane</t>
  </si>
  <si>
    <t>Public Transport
Current RTN, FTN or Other Strategic PT Corridors</t>
  </si>
  <si>
    <t>Freight
Current Level 1a, 1b or 2</t>
  </si>
  <si>
    <t>General Traffic
Current Strategic, Primary or Secondary arterial</t>
  </si>
  <si>
    <t>NOTES:</t>
  </si>
  <si>
    <t xml:space="preserve">     However, this should be considered on a case-by-case basis, taking into account the findings from a Safe System Audit and the productivity assessment.</t>
  </si>
  <si>
    <t>People movement productivity</t>
  </si>
  <si>
    <t>Yes / No</t>
  </si>
  <si>
    <t>If yes to both, this would rule out T3, T2 and HV options</t>
  </si>
  <si>
    <t>YesYesYes</t>
  </si>
  <si>
    <t>NoYesYes</t>
  </si>
  <si>
    <t>NoYesNo</t>
  </si>
  <si>
    <t>HV, HV+T3, HV+T2, T3 or T2 Lane</t>
  </si>
  <si>
    <t>All, i.e. HV, HV+Bus, HV+T3, HV+T2, Bus, T3 or T2 Lane</t>
  </si>
  <si>
    <t>YesYesNo</t>
  </si>
  <si>
    <t>HV, HV+Bus Lane or Bus Lane</t>
  </si>
  <si>
    <t>YesNoYes</t>
  </si>
  <si>
    <t>YesNoNo</t>
  </si>
  <si>
    <t>NoNoYes</t>
  </si>
  <si>
    <t>Step 1 SVL options</t>
  </si>
  <si>
    <t>Step 2 -if YesYes</t>
  </si>
  <si>
    <t>Step 3 - If YesNo</t>
  </si>
  <si>
    <t>Step 4 - If YesYes</t>
  </si>
  <si>
    <t>If Yes to both, this would rule out HV options</t>
  </si>
  <si>
    <t>Filtered based on strategic networks</t>
  </si>
  <si>
    <t>Time period assessed</t>
  </si>
  <si>
    <t>Option description</t>
  </si>
  <si>
    <t>Public Transport - Bus</t>
  </si>
  <si>
    <t>Assess the current levels of service - Is there an existing problem?</t>
  </si>
  <si>
    <t>Direction of travel assessed</t>
  </si>
  <si>
    <t>Pre-project vehicle speeds (km/h)</t>
  </si>
  <si>
    <t>Speed limit (km/h)</t>
  </si>
  <si>
    <t>Observed  Levels of Service</t>
  </si>
  <si>
    <t>Length of corridor assessed (km)</t>
  </si>
  <si>
    <t>Formulae (hidden)</t>
  </si>
  <si>
    <t>Target LoS (base)</t>
  </si>
  <si>
    <t>Is there a deficiency according to ANOP?</t>
  </si>
  <si>
    <t>Speed LoS</t>
  </si>
  <si>
    <t>Yes / No score</t>
  </si>
  <si>
    <t>Strategic Networks, Yes / No</t>
  </si>
  <si>
    <t>Is the route on Future Connect strategic networks?</t>
  </si>
  <si>
    <t>Notes. E.g. where was speed data sourced from?</t>
  </si>
  <si>
    <t>Assessment Notes</t>
  </si>
  <si>
    <t xml:space="preserve"> Located in a City or Metropolitan Centre on a Primary Walking Network </t>
  </si>
  <si>
    <t xml:space="preserve">Likely appropriate options are therefore </t>
  </si>
  <si>
    <t>Total Volume</t>
  </si>
  <si>
    <t>Mode splits (%)</t>
  </si>
  <si>
    <t>No. vehicles/h</t>
  </si>
  <si>
    <t>Base case</t>
  </si>
  <si>
    <t>No SVL</t>
  </si>
  <si>
    <t>Options</t>
  </si>
  <si>
    <t>Option 1</t>
  </si>
  <si>
    <t>Option 2</t>
  </si>
  <si>
    <t>What option/s are you assessing?</t>
  </si>
  <si>
    <t>SVL Type</t>
  </si>
  <si>
    <t>Benchmark Productivity per lane</t>
  </si>
  <si>
    <t>Appropriate SVL types identified based on FC and Lane use assessment:</t>
  </si>
  <si>
    <t>Vehicle movement productivity</t>
  </si>
  <si>
    <t>Notes &amp; Assumptions</t>
  </si>
  <si>
    <t>Scenarios</t>
  </si>
  <si>
    <t xml:space="preserve">Result: </t>
  </si>
  <si>
    <t>2- Productivity Results</t>
  </si>
  <si>
    <t>1 - Network Hierarchy and Land Use</t>
  </si>
  <si>
    <t>3 - Auckland Network Operating Plan</t>
  </si>
  <si>
    <t>Special Vehicle Lane Assessment - input sheet 1 of 2</t>
  </si>
  <si>
    <t>Special Vehicle Lane Assessment - input sheet 2 of 2</t>
  </si>
  <si>
    <t xml:space="preserve">Traffic Volumes </t>
  </si>
  <si>
    <t>Special Vehicle Lane Assessment - Results Sheet</t>
  </si>
  <si>
    <t>Level of Service</t>
  </si>
  <si>
    <t>Speed (km/h)</t>
  </si>
  <si>
    <t>Travel Time (mins)</t>
  </si>
  <si>
    <t xml:space="preserve">Average TT per person </t>
  </si>
  <si>
    <t>SVL Travel Time change</t>
  </si>
  <si>
    <t>Average TT per person change</t>
  </si>
  <si>
    <t>Productivity improvement</t>
  </si>
  <si>
    <t>How to complete this form:</t>
  </si>
  <si>
    <t>Likely appropriate options</t>
  </si>
  <si>
    <t>Future Connect and Land Use Inputs</t>
  </si>
  <si>
    <t>Productivity Inputs</t>
  </si>
  <si>
    <t>Freight productivity impact</t>
  </si>
  <si>
    <t>Blue boxes are automatically populated by formulae and results can be found on the "RESULTS" tab</t>
  </si>
  <si>
    <t>Speeds (km/h) *</t>
  </si>
  <si>
    <t>Productivity (people.km/h)</t>
  </si>
  <si>
    <t>Volume (veh/h)</t>
  </si>
  <si>
    <t>Speed
(km/h)</t>
  </si>
  <si>
    <t>Total person TT (minutes)</t>
  </si>
  <si>
    <t>Volume (people)</t>
  </si>
  <si>
    <t>T2 or T3 (if present)</t>
  </si>
  <si>
    <t>Buses</t>
  </si>
  <si>
    <t>T2 or T3 vehicles</t>
  </si>
  <si>
    <t>T3+ Vehicle (typcally 5%)</t>
  </si>
  <si>
    <t>T2 Vehicle (typically 8%)</t>
  </si>
  <si>
    <t>Occupancy/veh</t>
  </si>
  <si>
    <t>People/h</t>
  </si>
  <si>
    <t>* Speeds should be obtained from survey or GPS data for existing scenarios and modelling outputs for options.</t>
  </si>
  <si>
    <t>Option Name (optional)</t>
  </si>
  <si>
    <t xml:space="preserve">Vehicle % of total </t>
  </si>
  <si>
    <t xml:space="preserve">People % of total </t>
  </si>
  <si>
    <t>Delays (min)</t>
  </si>
  <si>
    <t>Travel time @ speed limit (min)</t>
  </si>
  <si>
    <t/>
  </si>
  <si>
    <t>Frequent Transit Network</t>
  </si>
  <si>
    <t>Enter information into all of the grey boxes on sheets 1 and 2</t>
  </si>
  <si>
    <t>Bus, T3 or T2 Lane ²</t>
  </si>
  <si>
    <t>T3 or T2 Lane ²</t>
  </si>
  <si>
    <t>None ²</t>
  </si>
  <si>
    <t>Bus Lane ²</t>
  </si>
  <si>
    <t>Bus or T3 Lane ²</t>
  </si>
  <si>
    <t>T3 Lane ²</t>
  </si>
  <si>
    <t>Are safe cycling facilities present?</t>
  </si>
  <si>
    <t xml:space="preserve">Are safe cycling facilities required?
(i.e. on the current Regional or Major cycle network) </t>
  </si>
  <si>
    <t>If yes, and none are planned this would normally rule out T2 and HV options</t>
  </si>
  <si>
    <r>
      <t>Reliability LoS (95</t>
    </r>
    <r>
      <rPr>
        <b/>
        <vertAlign val="superscript"/>
        <sz val="10"/>
        <color rgb="FF001930"/>
        <rFont val="Calibri"/>
        <family val="2"/>
        <scheme val="minor"/>
      </rPr>
      <t>th</t>
    </r>
    <r>
      <rPr>
        <b/>
        <sz val="10"/>
        <color rgb="FF001930"/>
        <rFont val="Calibri"/>
        <family val="2"/>
        <scheme val="minor"/>
      </rPr>
      <t xml:space="preserve"> Percentile / Median)</t>
    </r>
  </si>
  <si>
    <r>
      <t xml:space="preserve">Observed LoS </t>
    </r>
    <r>
      <rPr>
        <b/>
        <vertAlign val="superscript"/>
        <sz val="11"/>
        <color rgb="FF001930"/>
        <rFont val="Calibri"/>
        <family val="2"/>
        <scheme val="minor"/>
      </rPr>
      <t>1</t>
    </r>
  </si>
  <si>
    <r>
      <rPr>
        <b/>
        <sz val="12"/>
        <color rgb="FF001930"/>
        <rFont val="Calibri"/>
        <family val="2"/>
        <scheme val="minor"/>
      </rPr>
      <t>AND</t>
    </r>
    <r>
      <rPr>
        <sz val="10"/>
        <color rgb="FF001930"/>
        <rFont val="Calibri"/>
        <family val="2"/>
        <scheme val="minor"/>
      </rPr>
      <t xml:space="preserve">
Lacking safe and appropriate provisions for pedestrians 
(ANOP &lt; LoS C)</t>
    </r>
  </si>
  <si>
    <r>
      <rPr>
        <vertAlign val="superscript"/>
        <sz val="10"/>
        <color rgb="FF001930"/>
        <rFont val="Calibri"/>
        <family val="2"/>
        <scheme val="minor"/>
      </rPr>
      <t>1</t>
    </r>
    <r>
      <rPr>
        <sz val="10"/>
        <color rgb="FF001930"/>
        <rFont val="Calibri"/>
        <family val="2"/>
        <scheme val="minor"/>
      </rPr>
      <t xml:space="preserve"> For Level of Service Definitions for each mode please refer to pages 10 and 11 of</t>
    </r>
  </si>
  <si>
    <r>
      <t>2</t>
    </r>
    <r>
      <rPr>
        <sz val="10"/>
        <color rgb="FF001930"/>
        <rFont val="Calibri"/>
        <family val="2"/>
        <scheme val="minor"/>
      </rPr>
      <t xml:space="preserve">   The listed land uses are generally not suited to HV priority provision due to the increased safety risk (risk of DSIs) resulting from increased exposure to heavy vehicles. </t>
    </r>
  </si>
  <si>
    <r>
      <t>3</t>
    </r>
    <r>
      <rPr>
        <sz val="10"/>
        <color rgb="FF001930"/>
        <rFont val="Calibri"/>
        <family val="2"/>
        <scheme val="minor"/>
      </rPr>
      <t xml:space="preserve">   If safe cycling facilities are required but none are present or planned as part of the SVL project, this would normally rule out T2 and HV options. </t>
    </r>
  </si>
  <si>
    <r>
      <t>4</t>
    </r>
    <r>
      <rPr>
        <sz val="10"/>
        <color rgb="FF001930"/>
        <rFont val="Calibri"/>
        <family val="2"/>
        <scheme val="minor"/>
      </rPr>
      <t xml:space="preserve">   If in the City Centre or a Metropolitan Centre and lacking safe and appropriate provisions for pedestrians, this would rule out T3, T2 and HV options</t>
    </r>
  </si>
  <si>
    <t>Network Hierarchy
(Future Connect)</t>
  </si>
  <si>
    <t>Assess cycling situation – Check for HV and T2 lane suitability</t>
  </si>
  <si>
    <t>Determine appropriate SVL types, - Check land use and Future Connect modal hierarchy</t>
  </si>
  <si>
    <t>City Centre or Metropolitan Centre consideration – Check for HV, T2 and T3 lane suitability **</t>
  </si>
  <si>
    <t>Assess land use and walking situation – Check for HV lane suitability **</t>
  </si>
  <si>
    <t>Step 0</t>
  </si>
  <si>
    <t>Safe and convenient walking facilities are required such as in a Town Centre on the Primary Walking Network,  OR  within 400m / 5 min walk of a major PT Interchange or terminal, or a school or tertiary educational facility</t>
  </si>
  <si>
    <r>
      <rPr>
        <b/>
        <sz val="12"/>
        <color rgb="FF001930"/>
        <rFont val="Calibri"/>
        <family val="2"/>
        <scheme val="minor"/>
      </rPr>
      <t>AND</t>
    </r>
    <r>
      <rPr>
        <sz val="10"/>
        <color rgb="FF001930"/>
        <rFont val="Calibri"/>
        <family val="2"/>
        <scheme val="minor"/>
      </rPr>
      <t xml:space="preserve">
Pedestrian LOS is substandard 
(i.e. lacking safe and appropriate facilities, ANOP LOS D or worse)</t>
    </r>
  </si>
  <si>
    <r>
      <t xml:space="preserve">If "Yes":
•	For HV option, look at providing a separate cycle facility or route. 
•	For T2 option, consider either an alternative SVL type (T3 or bus lane) or a separate cycle facility or route
REMAINING POTENTIAL OPTIONS </t>
    </r>
    <r>
      <rPr>
        <vertAlign val="superscript"/>
        <sz val="11"/>
        <color rgb="FF001930"/>
        <rFont val="Calibri"/>
        <family val="2"/>
        <scheme val="minor"/>
      </rPr>
      <t>3</t>
    </r>
  </si>
  <si>
    <r>
      <t xml:space="preserve">If "yes" - HV options are unlikely to be appropriate
REMAINING POTENTIAL OPTIONS </t>
    </r>
    <r>
      <rPr>
        <vertAlign val="superscript"/>
        <sz val="11"/>
        <color rgb="FF001930"/>
        <rFont val="Calibri"/>
        <family val="2"/>
        <scheme val="minor"/>
      </rPr>
      <t>2</t>
    </r>
  </si>
  <si>
    <t>Consideration shuld be given to providing for cycling on a different route.</t>
  </si>
  <si>
    <r>
      <t xml:space="preserve">If "yes" - HV, T2 and T3 options are unlikely to be appropriate
REMAINING POTENTIAL OPTIONS </t>
    </r>
    <r>
      <rPr>
        <vertAlign val="superscript"/>
        <sz val="11"/>
        <color rgb="FF001930"/>
        <rFont val="Calibri"/>
        <family val="2"/>
        <scheme val="minor"/>
      </rPr>
      <t>4</t>
    </r>
  </si>
  <si>
    <t>Download the Application of the Auckland Network Operating Plan July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</si>
</sst>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quot;#,##0;[Red]\-&quot;$&quot;#,##0"/>
    <numFmt numFmtId="165" formatCode="_-* #,##0.00_-;\-* #,##0.00_-;_-* &quot;-&quot;??_-;_-@_-"/>
    <numFmt numFmtId="166" formatCode="[$-1409]d\ mmmm\ yyyy;@"/>
    <numFmt numFmtId="167" formatCode="0.0"/>
    <numFmt numFmtId="168" formatCode="0.0%"/>
    <numFmt numFmtId="169" formatCode="_-* #,##0_-;\-* #,##0_-;_-* &quot;-&quot;??_-;_-@_-"/>
    <numFmt numFmtId="170" formatCode="\+0.0%;\-0.0%;\-"/>
    <numFmt numFmtId="171" formatCode="0.000"/>
  </numFmts>
  <fonts count="76" x14ac:knownFonts="1">
    <font>
      <sz val="11"/>
      <color theme="1"/>
      <name val="Calibri"/>
      <family val="2"/>
      <scheme val="minor"/>
    </font>
    <font>
      <b/>
      <sz val="11"/>
      <color theme="0"/>
      <name val="Calibri"/>
      <family val="2"/>
      <scheme val="minor"/>
    </font>
    <font>
      <b/>
      <sz val="11"/>
      <color theme="1"/>
      <name val="Calibri"/>
      <family val="2"/>
      <scheme val="minor"/>
    </font>
    <font>
      <sz val="9"/>
      <name val="Arial"/>
      <family val="2"/>
    </font>
    <font>
      <sz val="9"/>
      <color rgb="FF000000"/>
      <name val="Arial"/>
      <family val="2"/>
    </font>
    <font>
      <sz val="11"/>
      <name val="Calibri"/>
      <family val="2"/>
      <scheme val="minor"/>
    </font>
    <font>
      <sz val="11"/>
      <color rgb="FFC8C8C8"/>
      <name val="Calibri"/>
      <family val="2"/>
    </font>
    <font>
      <sz val="8"/>
      <color theme="1"/>
      <name val="Arial"/>
      <family val="2"/>
    </font>
    <font>
      <sz val="16"/>
      <color rgb="FFC8C8C8"/>
      <name val="Calibri"/>
      <family val="2"/>
    </font>
    <font>
      <sz val="11"/>
      <name val="Calibri"/>
      <family val="2"/>
    </font>
    <font>
      <u/>
      <sz val="11"/>
      <color theme="10"/>
      <name val="Calibri"/>
      <family val="2"/>
      <scheme val="minor"/>
    </font>
    <font>
      <b/>
      <sz val="18"/>
      <color rgb="FF112A2F"/>
      <name val="Calibri Light"/>
      <family val="2"/>
    </font>
    <font>
      <sz val="11"/>
      <color theme="1"/>
      <name val="Calibri Light"/>
      <family val="2"/>
    </font>
    <font>
      <sz val="11"/>
      <color theme="0"/>
      <name val="Calibri Light"/>
      <family val="2"/>
    </font>
    <font>
      <b/>
      <sz val="11"/>
      <color theme="0"/>
      <name val="Calibri Light"/>
      <family val="2"/>
    </font>
    <font>
      <sz val="12"/>
      <color rgb="FF112A2F"/>
      <name val="Calibri Light"/>
      <family val="2"/>
    </font>
    <font>
      <sz val="11"/>
      <name val="Calibri Light"/>
      <family val="2"/>
    </font>
    <font>
      <sz val="11"/>
      <color rgb="FFC8C8C8"/>
      <name val="Calibri Light"/>
      <family val="2"/>
    </font>
    <font>
      <sz val="11"/>
      <color theme="1" tint="0.249977111117893"/>
      <name val="Calibri Light"/>
      <family val="2"/>
    </font>
    <font>
      <sz val="16"/>
      <color theme="1"/>
      <name val="Calibri Light"/>
      <family val="2"/>
    </font>
    <font>
      <b/>
      <sz val="11"/>
      <name val="Calibri Light"/>
      <family val="2"/>
    </font>
    <font>
      <b/>
      <sz val="11"/>
      <color theme="1"/>
      <name val="Calibri Light"/>
      <family val="2"/>
    </font>
    <font>
      <b/>
      <sz val="11"/>
      <color theme="0"/>
      <name val="Calibri Light"/>
      <family val="2"/>
      <scheme val="major"/>
    </font>
    <font>
      <b/>
      <sz val="11"/>
      <color rgb="FFFFFFFF"/>
      <name val="Calibri Light"/>
      <family val="2"/>
      <scheme val="major"/>
    </font>
    <font>
      <b/>
      <sz val="11"/>
      <color theme="0" tint="-0.499984740745262"/>
      <name val="Calibri"/>
      <family val="2"/>
      <scheme val="minor"/>
    </font>
    <font>
      <sz val="9"/>
      <color theme="0" tint="-0.499984740745262"/>
      <name val="Arial"/>
      <family val="2"/>
    </font>
    <font>
      <sz val="14"/>
      <color rgb="FFC8C8C8"/>
      <name val="Calibri Light"/>
      <family val="2"/>
    </font>
    <font>
      <sz val="12"/>
      <color rgb="FFC8C8C8"/>
      <name val="Calibri Light"/>
      <family val="2"/>
    </font>
    <font>
      <sz val="12"/>
      <color theme="1"/>
      <name val="Calibri Light"/>
      <family val="2"/>
    </font>
    <font>
      <sz val="11"/>
      <name val="Wingdings"/>
      <charset val="2"/>
    </font>
    <font>
      <b/>
      <sz val="11"/>
      <color rgb="FFC8C8C8"/>
      <name val="Calibri Light"/>
      <family val="2"/>
    </font>
    <font>
      <b/>
      <u/>
      <sz val="12"/>
      <color theme="8" tint="0.39997558519241921"/>
      <name val="Calibri Light"/>
      <family val="2"/>
    </font>
    <font>
      <sz val="11"/>
      <color rgb="FFFF0000"/>
      <name val="Calibri Light"/>
      <family val="2"/>
    </font>
    <font>
      <b/>
      <sz val="10"/>
      <color rgb="FF202124"/>
      <name val="Arial"/>
      <family val="2"/>
    </font>
    <font>
      <sz val="12"/>
      <name val="Calibri Light"/>
      <family val="2"/>
    </font>
    <font>
      <sz val="11"/>
      <color theme="1"/>
      <name val="Calibri"/>
      <family val="2"/>
      <scheme val="minor"/>
    </font>
    <font>
      <b/>
      <sz val="10"/>
      <color rgb="FF212121"/>
      <name val="Calibri"/>
      <family val="2"/>
      <scheme val="minor"/>
    </font>
    <font>
      <sz val="10"/>
      <color rgb="FF000000"/>
      <name val="Calibri"/>
      <family val="2"/>
      <scheme val="minor"/>
    </font>
    <font>
      <sz val="10"/>
      <color rgb="FF212121"/>
      <name val="Calibri"/>
      <family val="2"/>
      <scheme val="minor"/>
    </font>
    <font>
      <b/>
      <sz val="10"/>
      <color rgb="FF000000"/>
      <name val="Calibri"/>
      <family val="2"/>
      <scheme val="minor"/>
    </font>
    <font>
      <sz val="10"/>
      <color theme="1"/>
      <name val="Calibri"/>
      <family val="2"/>
      <scheme val="minor"/>
    </font>
    <font>
      <sz val="10"/>
      <name val="Calibri"/>
      <family val="2"/>
      <scheme val="minor"/>
    </font>
    <font>
      <b/>
      <sz val="11"/>
      <color rgb="FFFF0000"/>
      <name val="Calibri"/>
      <family val="2"/>
      <scheme val="minor"/>
    </font>
    <font>
      <b/>
      <sz val="10"/>
      <color theme="1"/>
      <name val="Calibri"/>
      <family val="2"/>
      <scheme val="minor"/>
    </font>
    <font>
      <b/>
      <sz val="12"/>
      <color rgb="FF212121"/>
      <name val="Calibri"/>
      <family val="2"/>
      <scheme val="minor"/>
    </font>
    <font>
      <sz val="10"/>
      <name val="Arial"/>
      <family val="2"/>
    </font>
    <font>
      <sz val="10"/>
      <color rgb="FF000000"/>
      <name val="Arial"/>
      <family val="2"/>
    </font>
    <font>
      <b/>
      <sz val="14"/>
      <color theme="1"/>
      <name val="Calibri"/>
      <family val="2"/>
      <scheme val="minor"/>
    </font>
    <font>
      <sz val="11"/>
      <color rgb="FF112A2F"/>
      <name val="Calibri"/>
      <family val="2"/>
      <scheme val="minor"/>
    </font>
    <font>
      <sz val="11"/>
      <color rgb="FFC8C8C8"/>
      <name val="Calibri"/>
      <family val="2"/>
      <scheme val="minor"/>
    </font>
    <font>
      <sz val="16"/>
      <color rgb="FFFF0000"/>
      <name val="Calibri"/>
      <family val="2"/>
      <scheme val="minor"/>
    </font>
    <font>
      <b/>
      <sz val="12"/>
      <color theme="0"/>
      <name val="Calibri"/>
      <family val="2"/>
      <scheme val="minor"/>
    </font>
    <font>
      <sz val="11"/>
      <color theme="0"/>
      <name val="Calibri"/>
      <family val="2"/>
      <scheme val="minor"/>
    </font>
    <font>
      <b/>
      <sz val="16"/>
      <color rgb="FF001930"/>
      <name val="Calibri"/>
      <family val="2"/>
      <scheme val="minor"/>
    </font>
    <font>
      <sz val="12"/>
      <color rgb="FF001930"/>
      <name val="Calibri"/>
      <family val="2"/>
      <scheme val="minor"/>
    </font>
    <font>
      <sz val="14"/>
      <color rgb="FF001930"/>
      <name val="Calibri"/>
      <family val="2"/>
      <scheme val="minor"/>
    </font>
    <font>
      <sz val="11"/>
      <color rgb="FF001930"/>
      <name val="Calibri"/>
      <family val="2"/>
      <scheme val="minor"/>
    </font>
    <font>
      <b/>
      <sz val="14"/>
      <color rgb="FF001930"/>
      <name val="Calibri"/>
      <family val="2"/>
      <scheme val="minor"/>
    </font>
    <font>
      <b/>
      <sz val="12"/>
      <color rgb="FF001930"/>
      <name val="Calibri"/>
      <family val="2"/>
      <scheme val="minor"/>
    </font>
    <font>
      <b/>
      <sz val="10"/>
      <color rgb="FF001930"/>
      <name val="Calibri"/>
      <family val="2"/>
      <scheme val="minor"/>
    </font>
    <font>
      <b/>
      <vertAlign val="superscript"/>
      <sz val="10"/>
      <color rgb="FF001930"/>
      <name val="Calibri"/>
      <family val="2"/>
      <scheme val="minor"/>
    </font>
    <font>
      <sz val="10"/>
      <color rgb="FF001930"/>
      <name val="Calibri"/>
      <family val="2"/>
      <scheme val="minor"/>
    </font>
    <font>
      <b/>
      <u/>
      <sz val="12"/>
      <color rgb="FF4472C4"/>
      <name val="Calibri"/>
      <family val="2"/>
      <scheme val="minor"/>
    </font>
    <font>
      <b/>
      <sz val="11"/>
      <color rgb="FF001930"/>
      <name val="Calibri"/>
      <family val="2"/>
      <scheme val="minor"/>
    </font>
    <font>
      <b/>
      <vertAlign val="superscript"/>
      <sz val="11"/>
      <color rgb="FF001930"/>
      <name val="Calibri"/>
      <family val="2"/>
      <scheme val="minor"/>
    </font>
    <font>
      <b/>
      <sz val="18"/>
      <color rgb="FF001930"/>
      <name val="Calibri"/>
      <family val="2"/>
      <scheme val="minor"/>
    </font>
    <font>
      <sz val="18"/>
      <color rgb="FF001930"/>
      <name val="Calibri"/>
      <family val="2"/>
      <scheme val="minor"/>
    </font>
    <font>
      <vertAlign val="superscript"/>
      <sz val="11"/>
      <color rgb="FF001930"/>
      <name val="Calibri"/>
      <family val="2"/>
      <scheme val="minor"/>
    </font>
    <font>
      <sz val="16"/>
      <color rgb="FF001930"/>
      <name val="Calibri"/>
      <family val="2"/>
      <scheme val="minor"/>
    </font>
    <font>
      <vertAlign val="superscript"/>
      <sz val="10"/>
      <color rgb="FF001930"/>
      <name val="Calibri"/>
      <family val="2"/>
      <scheme val="minor"/>
    </font>
    <font>
      <b/>
      <sz val="14"/>
      <color theme="0"/>
      <name val="Calibri"/>
      <family val="2"/>
      <scheme val="minor"/>
    </font>
    <font>
      <sz val="14"/>
      <color theme="0"/>
      <name val="Calibri"/>
      <family val="2"/>
      <scheme val="minor"/>
    </font>
    <font>
      <b/>
      <sz val="13"/>
      <color theme="0"/>
      <name val="Calibri"/>
      <family val="2"/>
      <scheme val="minor"/>
    </font>
    <font>
      <sz val="20"/>
      <color rgb="FF001930"/>
      <name val="Calibri"/>
      <family val="2"/>
      <scheme val="minor"/>
    </font>
    <font>
      <sz val="11"/>
      <color rgb="FFFF0000"/>
      <name val="Calibri"/>
      <family val="2"/>
      <scheme val="minor"/>
    </font>
    <font>
      <sz val="13"/>
      <color rgb="FF001930"/>
      <name val="Calibri"/>
      <family val="2"/>
      <scheme val="minor"/>
    </font>
  </fonts>
  <fills count="29">
    <fill>
      <patternFill patternType="none"/>
    </fill>
    <fill>
      <patternFill patternType="gray125"/>
    </fill>
    <fill>
      <patternFill patternType="solid">
        <fgColor rgb="FFFFC000"/>
        <bgColor indexed="64"/>
      </patternFill>
    </fill>
    <fill>
      <patternFill patternType="solid">
        <fgColor rgb="FFAFBD22"/>
        <bgColor indexed="64"/>
      </patternFill>
    </fill>
    <fill>
      <patternFill patternType="solid">
        <fgColor rgb="FF6FF3FF"/>
        <bgColor indexed="64"/>
      </patternFill>
    </fill>
    <fill>
      <patternFill patternType="solid">
        <fgColor rgb="FF112A2F"/>
        <bgColor indexed="64"/>
      </patternFill>
    </fill>
    <fill>
      <patternFill patternType="solid">
        <fgColor theme="9" tint="0.39997558519241921"/>
        <bgColor indexed="64"/>
      </patternFill>
    </fill>
    <fill>
      <patternFill patternType="solid">
        <fgColor rgb="FFFF3300"/>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rgb="FFC8C8C8"/>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
      <patternFill patternType="solid">
        <fgColor rgb="FFF1544F"/>
        <bgColor indexed="64"/>
      </patternFill>
    </fill>
    <fill>
      <patternFill patternType="solid">
        <fgColor rgb="FF789D40"/>
        <bgColor indexed="64"/>
      </patternFill>
    </fill>
    <fill>
      <patternFill patternType="solid">
        <fgColor rgb="FF0089BC"/>
        <bgColor indexed="64"/>
      </patternFill>
    </fill>
    <fill>
      <patternFill patternType="solid">
        <fgColor rgb="FFC16E53"/>
        <bgColor indexed="64"/>
      </patternFill>
    </fill>
    <fill>
      <patternFill patternType="solid">
        <fgColor rgb="FFA352A0"/>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0000"/>
        <bgColor indexed="64"/>
      </patternFill>
    </fill>
    <fill>
      <patternFill patternType="solid">
        <fgColor rgb="FF00B0F0"/>
        <bgColor indexed="64"/>
      </patternFill>
    </fill>
    <fill>
      <patternFill patternType="solid">
        <fgColor rgb="FFEDEDED"/>
        <bgColor indexed="64"/>
      </patternFill>
    </fill>
    <fill>
      <patternFill patternType="solid">
        <fgColor rgb="FF0070C0"/>
        <bgColor indexed="64"/>
      </patternFill>
    </fill>
    <fill>
      <patternFill patternType="solid">
        <fgColor rgb="FF77A600"/>
        <bgColor indexed="64"/>
      </patternFill>
    </fill>
    <fill>
      <patternFill patternType="solid">
        <fgColor rgb="FFC00000"/>
        <bgColor indexed="64"/>
      </patternFill>
    </fill>
    <fill>
      <patternFill patternType="solid">
        <fgColor theme="1" tint="0.499984740745262"/>
        <bgColor indexed="64"/>
      </patternFill>
    </fill>
  </fills>
  <borders count="133">
    <border>
      <left/>
      <right/>
      <top/>
      <bottom/>
      <diagonal/>
    </border>
    <border>
      <left style="thin">
        <color rgb="FFC8C8C8"/>
      </left>
      <right style="thin">
        <color rgb="FFC8C8C8"/>
      </right>
      <top style="thin">
        <color rgb="FFC8C8C8"/>
      </top>
      <bottom style="thin">
        <color rgb="FFC8C8C8"/>
      </bottom>
      <diagonal/>
    </border>
    <border>
      <left/>
      <right style="thin">
        <color rgb="FFC8C8C8"/>
      </right>
      <top/>
      <bottom/>
      <diagonal/>
    </border>
    <border>
      <left style="thin">
        <color rgb="FFC8C8C8"/>
      </left>
      <right/>
      <top style="thin">
        <color rgb="FFC8C8C8"/>
      </top>
      <bottom style="thin">
        <color rgb="FFC8C8C8"/>
      </bottom>
      <diagonal/>
    </border>
    <border>
      <left/>
      <right style="thin">
        <color rgb="FFC8C8C8"/>
      </right>
      <top style="thin">
        <color rgb="FFC8C8C8"/>
      </top>
      <bottom style="thin">
        <color rgb="FFC8C8C8"/>
      </bottom>
      <diagonal/>
    </border>
    <border>
      <left/>
      <right/>
      <top style="thin">
        <color rgb="FFC8C8C8"/>
      </top>
      <bottom style="thin">
        <color rgb="FFC8C8C8"/>
      </bottom>
      <diagonal/>
    </border>
    <border>
      <left style="thin">
        <color rgb="FFC8C8C8"/>
      </left>
      <right/>
      <top/>
      <bottom/>
      <diagonal/>
    </border>
    <border>
      <left style="thin">
        <color rgb="FFC8C8C8"/>
      </left>
      <right/>
      <top/>
      <bottom style="thin">
        <color rgb="FFC8C8C8"/>
      </bottom>
      <diagonal/>
    </border>
    <border>
      <left/>
      <right style="thin">
        <color rgb="FFC8C8C8"/>
      </right>
      <top/>
      <bottom style="thin">
        <color rgb="FFC8C8C8"/>
      </bottom>
      <diagonal/>
    </border>
    <border>
      <left/>
      <right/>
      <top/>
      <bottom style="thin">
        <color rgb="FFC8C8C8"/>
      </bottom>
      <diagonal/>
    </border>
    <border>
      <left/>
      <right/>
      <top style="thin">
        <color rgb="FFC8C8C8"/>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right/>
      <top style="thin">
        <color indexed="64"/>
      </top>
      <bottom style="thin">
        <color rgb="FFC8C8C8"/>
      </bottom>
      <diagonal/>
    </border>
    <border>
      <left/>
      <right style="thin">
        <color indexed="64"/>
      </right>
      <top style="thin">
        <color indexed="64"/>
      </top>
      <bottom style="thin">
        <color rgb="FFC8C8C8"/>
      </bottom>
      <diagonal/>
    </border>
    <border>
      <left style="thin">
        <color indexed="64"/>
      </left>
      <right/>
      <top style="thin">
        <color rgb="FFC8C8C8"/>
      </top>
      <bottom style="thin">
        <color rgb="FFC8C8C8"/>
      </bottom>
      <diagonal/>
    </border>
    <border>
      <left/>
      <right style="thin">
        <color indexed="64"/>
      </right>
      <top style="thin">
        <color rgb="FFC8C8C8"/>
      </top>
      <bottom style="thin">
        <color rgb="FFC8C8C8"/>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C8C8C8"/>
      </right>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indexed="64"/>
      </left>
      <right/>
      <top style="thin">
        <color indexed="64"/>
      </top>
      <bottom/>
      <diagonal/>
    </border>
    <border>
      <left/>
      <right/>
      <top style="thin">
        <color indexed="64"/>
      </top>
      <bottom/>
      <diagonal/>
    </border>
    <border>
      <left style="thin">
        <color rgb="FFC8C8C8"/>
      </left>
      <right style="thin">
        <color rgb="FFC8C8C8"/>
      </right>
      <top style="thin">
        <color rgb="FFC8C8C8"/>
      </top>
      <bottom/>
      <diagonal/>
    </border>
    <border>
      <left style="thin">
        <color rgb="FFC8C8C8"/>
      </left>
      <right style="thin">
        <color rgb="FFC8C8C8"/>
      </right>
      <top/>
      <bottom style="thin">
        <color rgb="FFC8C8C8"/>
      </bottom>
      <diagonal/>
    </border>
    <border>
      <left style="thin">
        <color rgb="FFC8C8C8"/>
      </left>
      <right style="thin">
        <color rgb="FFC8C8C8"/>
      </right>
      <top/>
      <bottom/>
      <diagonal/>
    </border>
    <border>
      <left style="thin">
        <color rgb="FFC8C8C8"/>
      </left>
      <right/>
      <top style="thin">
        <color rgb="FFC8C8C8"/>
      </top>
      <bottom/>
      <diagonal/>
    </border>
    <border>
      <left/>
      <right style="thin">
        <color rgb="FFC8C8C8"/>
      </right>
      <top style="thin">
        <color rgb="FFC8C8C8"/>
      </top>
      <bottom/>
      <diagonal/>
    </border>
    <border>
      <left style="thin">
        <color indexed="64"/>
      </left>
      <right/>
      <top/>
      <bottom style="thin">
        <color rgb="FFC8C8C8"/>
      </bottom>
      <diagonal/>
    </border>
    <border>
      <left/>
      <right style="thin">
        <color indexed="64"/>
      </right>
      <top/>
      <bottom style="thin">
        <color rgb="FFC8C8C8"/>
      </bottom>
      <diagonal/>
    </border>
    <border>
      <left/>
      <right style="thin">
        <color indexed="64"/>
      </right>
      <top/>
      <bottom style="thin">
        <color theme="0" tint="-0.24994659260841701"/>
      </bottom>
      <diagonal/>
    </border>
    <border>
      <left style="thin">
        <color theme="0" tint="-0.24994659260841701"/>
      </left>
      <right style="thin">
        <color indexed="64"/>
      </right>
      <top style="thin">
        <color theme="0" tint="-0.24994659260841701"/>
      </top>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right style="thin">
        <color indexed="64"/>
      </right>
      <top style="thin">
        <color theme="0" tint="-0.24994659260841701"/>
      </top>
      <bottom/>
      <diagonal/>
    </border>
    <border>
      <left style="thin">
        <color indexed="64"/>
      </left>
      <right/>
      <top style="thin">
        <color indexed="64"/>
      </top>
      <bottom style="thin">
        <color rgb="FFC8C8C8"/>
      </bottom>
      <diagonal/>
    </border>
    <border>
      <left/>
      <right style="thin">
        <color indexed="64"/>
      </right>
      <top style="thin">
        <color indexed="64"/>
      </top>
      <bottom/>
      <diagonal/>
    </border>
    <border>
      <left/>
      <right style="thin">
        <color rgb="FFC8C8C8"/>
      </right>
      <top style="thin">
        <color indexed="64"/>
      </top>
      <bottom/>
      <diagonal/>
    </border>
    <border>
      <left style="thin">
        <color rgb="FFC8C8C8"/>
      </left>
      <right/>
      <top style="thin">
        <color indexed="64"/>
      </top>
      <bottom/>
      <diagonal/>
    </border>
    <border>
      <left style="thin">
        <color rgb="FFC8C8C8"/>
      </left>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right style="thin">
        <color theme="0" tint="-0.14999847407452621"/>
      </right>
      <top/>
      <bottom/>
      <diagonal/>
    </border>
    <border>
      <left/>
      <right style="thin">
        <color theme="0" tint="-0.14999847407452621"/>
      </right>
      <top style="thin">
        <color rgb="FFC8C8C8"/>
      </top>
      <bottom/>
      <diagonal/>
    </border>
    <border>
      <left/>
      <right style="thin">
        <color theme="0" tint="-0.14999847407452621"/>
      </right>
      <top/>
      <bottom style="thin">
        <color rgb="FFC8C8C8"/>
      </bottom>
      <diagonal/>
    </border>
    <border>
      <left style="thin">
        <color theme="0" tint="-0.14999847407452621"/>
      </left>
      <right/>
      <top style="thin">
        <color theme="0" tint="-0.14999847407452621"/>
      </top>
      <bottom style="thin">
        <color theme="0" tint="-0.14996795556505021"/>
      </bottom>
      <diagonal/>
    </border>
    <border>
      <left/>
      <right/>
      <top style="thin">
        <color theme="0" tint="-0.14999847407452621"/>
      </top>
      <bottom style="thin">
        <color theme="0" tint="-0.14996795556505021"/>
      </bottom>
      <diagonal/>
    </border>
    <border>
      <left/>
      <right style="thin">
        <color theme="0" tint="-0.14999847407452621"/>
      </right>
      <top style="thin">
        <color theme="0" tint="-0.14999847407452621"/>
      </top>
      <bottom style="thin">
        <color theme="0" tint="-0.149967955565050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right style="thin">
        <color indexed="64"/>
      </right>
      <top/>
      <bottom style="double">
        <color indexed="64"/>
      </bottom>
      <diagonal/>
    </border>
    <border>
      <left style="thin">
        <color rgb="FFC8C8C8"/>
      </left>
      <right style="thin">
        <color rgb="FFC8C8C8"/>
      </right>
      <top style="thin">
        <color rgb="FFC8C8C8"/>
      </top>
      <bottom style="double">
        <color rgb="FFC8C8C8"/>
      </bottom>
      <diagonal/>
    </border>
    <border>
      <left style="medium">
        <color rgb="FFC8C8C8"/>
      </left>
      <right/>
      <top style="medium">
        <color rgb="FFC8C8C8"/>
      </top>
      <bottom/>
      <diagonal/>
    </border>
    <border>
      <left/>
      <right/>
      <top style="medium">
        <color rgb="FFC8C8C8"/>
      </top>
      <bottom/>
      <diagonal/>
    </border>
    <border>
      <left/>
      <right style="medium">
        <color rgb="FFC8C8C8"/>
      </right>
      <top style="medium">
        <color rgb="FFC8C8C8"/>
      </top>
      <bottom/>
      <diagonal/>
    </border>
    <border>
      <left style="medium">
        <color rgb="FFC8C8C8"/>
      </left>
      <right/>
      <top/>
      <bottom/>
      <diagonal/>
    </border>
    <border>
      <left/>
      <right style="medium">
        <color rgb="FFC8C8C8"/>
      </right>
      <top/>
      <bottom/>
      <diagonal/>
    </border>
    <border>
      <left style="medium">
        <color rgb="FFC8C8C8"/>
      </left>
      <right style="thin">
        <color rgb="FFC8C8C8"/>
      </right>
      <top style="thin">
        <color rgb="FFC8C8C8"/>
      </top>
      <bottom/>
      <diagonal/>
    </border>
    <border>
      <left style="thin">
        <color rgb="FFC8C8C8"/>
      </left>
      <right style="medium">
        <color rgb="FFC8C8C8"/>
      </right>
      <top style="thin">
        <color rgb="FFC8C8C8"/>
      </top>
      <bottom style="thin">
        <color rgb="FFC8C8C8"/>
      </bottom>
      <diagonal/>
    </border>
    <border>
      <left style="medium">
        <color rgb="FFC8C8C8"/>
      </left>
      <right style="thin">
        <color rgb="FFC8C8C8"/>
      </right>
      <top/>
      <bottom/>
      <diagonal/>
    </border>
    <border>
      <left style="medium">
        <color rgb="FFC8C8C8"/>
      </left>
      <right/>
      <top style="thin">
        <color rgb="FFC8C8C8"/>
      </top>
      <bottom/>
      <diagonal/>
    </border>
    <border>
      <left/>
      <right style="medium">
        <color rgb="FFC8C8C8"/>
      </right>
      <top style="thin">
        <color rgb="FFC8C8C8"/>
      </top>
      <bottom style="thin">
        <color rgb="FFC8C8C8"/>
      </bottom>
      <diagonal/>
    </border>
    <border>
      <left style="medium">
        <color rgb="FFC8C8C8"/>
      </left>
      <right/>
      <top/>
      <bottom style="thin">
        <color rgb="FFC8C8C8"/>
      </bottom>
      <diagonal/>
    </border>
    <border>
      <left style="thin">
        <color rgb="FFC8C8C8"/>
      </left>
      <right style="medium">
        <color rgb="FFC8C8C8"/>
      </right>
      <top/>
      <bottom/>
      <diagonal/>
    </border>
    <border>
      <left style="medium">
        <color rgb="FFC8C8C8"/>
      </left>
      <right/>
      <top style="thin">
        <color rgb="FFC8C8C8"/>
      </top>
      <bottom style="thin">
        <color rgb="FFC8C8C8"/>
      </bottom>
      <diagonal/>
    </border>
    <border>
      <left style="medium">
        <color rgb="FFC8C8C8"/>
      </left>
      <right style="thin">
        <color rgb="FFC8C8C8"/>
      </right>
      <top style="thin">
        <color rgb="FFC8C8C8"/>
      </top>
      <bottom style="thin">
        <color rgb="FFC8C8C8"/>
      </bottom>
      <diagonal/>
    </border>
    <border>
      <left style="thin">
        <color rgb="FFC8C8C8"/>
      </left>
      <right style="medium">
        <color rgb="FFC8C8C8"/>
      </right>
      <top/>
      <bottom style="thin">
        <color rgb="FFC8C8C8"/>
      </bottom>
      <diagonal/>
    </border>
    <border>
      <left style="medium">
        <color rgb="FFC8C8C8"/>
      </left>
      <right/>
      <top/>
      <bottom style="medium">
        <color rgb="FFC8C8C8"/>
      </bottom>
      <diagonal/>
    </border>
    <border>
      <left/>
      <right/>
      <top/>
      <bottom style="medium">
        <color rgb="FFC8C8C8"/>
      </bottom>
      <diagonal/>
    </border>
    <border>
      <left/>
      <right style="medium">
        <color rgb="FFC8C8C8"/>
      </right>
      <top/>
      <bottom style="medium">
        <color rgb="FFC8C8C8"/>
      </bottom>
      <diagonal/>
    </border>
    <border>
      <left/>
      <right style="medium">
        <color rgb="FFC8C8C8"/>
      </right>
      <top style="thin">
        <color rgb="FFC8C8C8"/>
      </top>
      <bottom/>
      <diagonal/>
    </border>
    <border>
      <left/>
      <right style="medium">
        <color rgb="FFC8C8C8"/>
      </right>
      <top/>
      <bottom style="thin">
        <color rgb="FFC8C8C8"/>
      </bottom>
      <diagonal/>
    </border>
    <border>
      <left style="medium">
        <color rgb="FFC8C8C8"/>
      </left>
      <right style="thin">
        <color rgb="FFC8C8C8"/>
      </right>
      <top/>
      <bottom style="thin">
        <color rgb="FFC8C8C8"/>
      </bottom>
      <diagonal/>
    </border>
    <border>
      <left style="thin">
        <color rgb="FFC8C8C8"/>
      </left>
      <right style="medium">
        <color rgb="FFC8C8C8"/>
      </right>
      <top style="thin">
        <color rgb="FFC8C8C8"/>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8C8C8"/>
      </left>
      <right style="thin">
        <color rgb="FFC8C8C8"/>
      </right>
      <top/>
      <bottom style="medium">
        <color indexed="64"/>
      </bottom>
      <diagonal/>
    </border>
    <border>
      <left style="medium">
        <color rgb="FFC8C8C8"/>
      </left>
      <right style="thin">
        <color rgb="FFC8C8C8"/>
      </right>
      <top style="thin">
        <color rgb="FFC8C8C8"/>
      </top>
      <bottom style="double">
        <color rgb="FFC8C8C8"/>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theme="6"/>
      </left>
      <right/>
      <top style="medium">
        <color theme="6"/>
      </top>
      <bottom style="medium">
        <color theme="6"/>
      </bottom>
      <diagonal/>
    </border>
    <border>
      <left/>
      <right style="thin">
        <color rgb="FFC8C8C8"/>
      </right>
      <top style="medium">
        <color theme="6"/>
      </top>
      <bottom style="medium">
        <color theme="6"/>
      </bottom>
      <diagonal/>
    </border>
    <border>
      <left style="thin">
        <color rgb="FFC8C8C8"/>
      </left>
      <right style="thin">
        <color rgb="FFC8C8C8"/>
      </right>
      <top style="medium">
        <color theme="6"/>
      </top>
      <bottom style="medium">
        <color theme="6"/>
      </bottom>
      <diagonal/>
    </border>
    <border>
      <left style="thin">
        <color rgb="FFC8C8C8"/>
      </left>
      <right style="medium">
        <color theme="6"/>
      </right>
      <top style="medium">
        <color theme="6"/>
      </top>
      <bottom style="medium">
        <color theme="6"/>
      </bottom>
      <diagonal/>
    </border>
    <border>
      <left style="medium">
        <color theme="6"/>
      </left>
      <right style="thin">
        <color rgb="FFC8C8C8"/>
      </right>
      <top style="medium">
        <color theme="6"/>
      </top>
      <bottom style="medium">
        <color theme="6"/>
      </bottom>
      <diagonal/>
    </border>
    <border>
      <left style="thin">
        <color theme="6"/>
      </left>
      <right style="thin">
        <color theme="6"/>
      </right>
      <top style="thin">
        <color theme="6"/>
      </top>
      <bottom style="thin">
        <color theme="6"/>
      </bottom>
      <diagonal/>
    </border>
    <border>
      <left style="thin">
        <color indexed="64"/>
      </left>
      <right style="thin">
        <color indexed="64"/>
      </right>
      <top/>
      <bottom style="double">
        <color indexed="64"/>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double">
        <color indexed="64"/>
      </bottom>
      <diagonal/>
    </border>
    <border>
      <left/>
      <right/>
      <top/>
      <bottom style="double">
        <color indexed="64"/>
      </bottom>
      <diagonal/>
    </border>
    <border>
      <left/>
      <right style="thin">
        <color indexed="64"/>
      </right>
      <top/>
      <bottom style="medium">
        <color indexed="64"/>
      </bottom>
      <diagonal/>
    </border>
  </borders>
  <cellStyleXfs count="6">
    <xf numFmtId="0" fontId="0" fillId="0" borderId="0"/>
    <xf numFmtId="0" fontId="10" fillId="0" borderId="0" applyNumberFormat="0" applyFill="0" applyBorder="0" applyAlignment="0" applyProtection="0"/>
    <xf numFmtId="165" fontId="35" fillId="0" borderId="0" applyFont="0" applyFill="0" applyBorder="0" applyAlignment="0" applyProtection="0"/>
    <xf numFmtId="9" fontId="35" fillId="0" borderId="0" applyFont="0" applyFill="0" applyBorder="0" applyAlignment="0" applyProtection="0"/>
    <xf numFmtId="0" fontId="45" fillId="0" borderId="0"/>
    <xf numFmtId="0" fontId="46" fillId="0" borderId="0"/>
  </cellStyleXfs>
  <cellXfs count="658">
    <xf numFmtId="0" fontId="0" fillId="0" borderId="0" xfId="0"/>
    <xf numFmtId="0" fontId="0" fillId="0" borderId="0" xfId="0" applyAlignment="1">
      <alignment vertical="center"/>
    </xf>
    <xf numFmtId="0" fontId="8" fillId="5" borderId="18" xfId="0" applyFont="1" applyFill="1" applyBorder="1" applyAlignment="1" applyProtection="1">
      <alignment horizontal="left" vertical="center" wrapText="1"/>
      <protection hidden="1"/>
    </xf>
    <xf numFmtId="0" fontId="0" fillId="0" borderId="9" xfId="0" applyBorder="1" applyAlignment="1" applyProtection="1">
      <alignment vertical="center"/>
      <protection hidden="1"/>
    </xf>
    <xf numFmtId="0" fontId="0" fillId="0" borderId="9" xfId="0" applyBorder="1" applyAlignment="1" applyProtection="1">
      <alignment horizontal="center" vertical="center"/>
      <protection hidden="1"/>
    </xf>
    <xf numFmtId="0" fontId="0" fillId="0" borderId="0" xfId="0" applyAlignment="1" applyProtection="1">
      <alignment vertical="center"/>
      <protection hidden="1"/>
    </xf>
    <xf numFmtId="0" fontId="6" fillId="5" borderId="18" xfId="0" applyFont="1" applyFill="1" applyBorder="1" applyAlignment="1" applyProtection="1">
      <alignment horizontal="center" vertical="center" wrapText="1"/>
      <protection hidden="1"/>
    </xf>
    <xf numFmtId="0" fontId="6" fillId="5" borderId="5" xfId="0" applyFont="1" applyFill="1" applyBorder="1" applyAlignment="1" applyProtection="1">
      <alignment horizontal="center" vertical="center" wrapText="1"/>
      <protection hidden="1"/>
    </xf>
    <xf numFmtId="0" fontId="6" fillId="5" borderId="19"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20" xfId="0" applyBorder="1" applyAlignment="1" applyProtection="1">
      <alignment vertical="center"/>
      <protection hidden="1"/>
    </xf>
    <xf numFmtId="0" fontId="0" fillId="11"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21" xfId="0" applyBorder="1" applyAlignment="1" applyProtection="1">
      <alignment horizontal="center" vertical="center"/>
      <protection hidden="1"/>
    </xf>
    <xf numFmtId="49" fontId="0" fillId="11" borderId="0" xfId="0" applyNumberFormat="1" applyFill="1" applyAlignment="1" applyProtection="1">
      <alignment horizontal="center" vertical="center"/>
      <protection hidden="1"/>
    </xf>
    <xf numFmtId="0" fontId="0" fillId="11" borderId="9" xfId="0" applyFill="1" applyBorder="1" applyAlignment="1" applyProtection="1">
      <alignment horizontal="center" vertical="center"/>
      <protection hidden="1"/>
    </xf>
    <xf numFmtId="0" fontId="0" fillId="0" borderId="23" xfId="0" applyBorder="1" applyAlignment="1" applyProtection="1">
      <alignment vertical="center"/>
      <protection hidden="1"/>
    </xf>
    <xf numFmtId="0" fontId="0" fillId="11" borderId="23" xfId="0" applyFill="1" applyBorder="1" applyAlignment="1" applyProtection="1">
      <alignment horizontal="center" vertical="center"/>
      <protection hidden="1"/>
    </xf>
    <xf numFmtId="0" fontId="0" fillId="0" borderId="25" xfId="0" applyBorder="1" applyAlignment="1" applyProtection="1">
      <alignment horizontal="center" vertical="center"/>
      <protection hidden="1"/>
    </xf>
    <xf numFmtId="0" fontId="0" fillId="0" borderId="24" xfId="0" applyBorder="1" applyAlignment="1" applyProtection="1">
      <alignment horizontal="center" vertical="center"/>
      <protection hidden="1"/>
    </xf>
    <xf numFmtId="0" fontId="0" fillId="11" borderId="0" xfId="0" applyFill="1" applyAlignment="1" applyProtection="1">
      <alignment horizontal="center"/>
      <protection hidden="1"/>
    </xf>
    <xf numFmtId="0" fontId="0" fillId="0" borderId="0" xfId="0" applyAlignment="1" applyProtection="1">
      <alignment horizontal="center"/>
      <protection hidden="1"/>
    </xf>
    <xf numFmtId="0" fontId="0" fillId="0" borderId="22" xfId="0" applyBorder="1" applyAlignment="1" applyProtection="1">
      <alignment vertical="center"/>
      <protection hidden="1"/>
    </xf>
    <xf numFmtId="0" fontId="0" fillId="0" borderId="23" xfId="0" applyBorder="1" applyAlignment="1" applyProtection="1">
      <alignment horizontal="center" vertical="center"/>
      <protection hidden="1"/>
    </xf>
    <xf numFmtId="0" fontId="8" fillId="5" borderId="3" xfId="0" applyFont="1" applyFill="1" applyBorder="1" applyAlignment="1" applyProtection="1">
      <alignment horizontal="left" vertical="center" wrapText="1"/>
      <protection hidden="1"/>
    </xf>
    <xf numFmtId="0" fontId="0" fillId="0" borderId="0" xfId="0" applyProtection="1">
      <protection hidden="1"/>
    </xf>
    <xf numFmtId="0" fontId="0" fillId="0" borderId="6" xfId="0" applyBorder="1" applyAlignment="1" applyProtection="1">
      <alignment vertical="center"/>
      <protection hidden="1"/>
    </xf>
    <xf numFmtId="167" fontId="0" fillId="11" borderId="0" xfId="0" applyNumberFormat="1" applyFill="1" applyAlignment="1" applyProtection="1">
      <alignment horizontal="center" vertical="center"/>
      <protection hidden="1"/>
    </xf>
    <xf numFmtId="0" fontId="0" fillId="0" borderId="7" xfId="0" applyBorder="1" applyAlignment="1" applyProtection="1">
      <alignment vertical="center"/>
      <protection hidden="1"/>
    </xf>
    <xf numFmtId="0" fontId="0" fillId="0" borderId="5" xfId="0" applyBorder="1" applyAlignment="1" applyProtection="1">
      <alignment vertical="center"/>
      <protection hidden="1"/>
    </xf>
    <xf numFmtId="0" fontId="8" fillId="5" borderId="5" xfId="0" applyFont="1" applyFill="1" applyBorder="1" applyAlignment="1" applyProtection="1">
      <alignment horizontal="center" vertical="center" wrapText="1"/>
      <protection hidden="1"/>
    </xf>
    <xf numFmtId="0" fontId="6" fillId="5" borderId="26" xfId="0" applyFont="1" applyFill="1" applyBorder="1" applyAlignment="1" applyProtection="1">
      <alignment horizontal="center" vertical="center" wrapText="1"/>
      <protection hidden="1"/>
    </xf>
    <xf numFmtId="0" fontId="6" fillId="5" borderId="13" xfId="0" applyFont="1" applyFill="1" applyBorder="1" applyAlignment="1" applyProtection="1">
      <alignment horizontal="center" vertical="center" wrapText="1"/>
      <protection hidden="1"/>
    </xf>
    <xf numFmtId="0" fontId="6" fillId="5" borderId="1" xfId="0" applyFont="1" applyFill="1" applyBorder="1" applyAlignment="1" applyProtection="1">
      <alignment horizontal="center" vertical="center" wrapText="1"/>
      <protection hidden="1"/>
    </xf>
    <xf numFmtId="0" fontId="9" fillId="9" borderId="1" xfId="0" applyFont="1" applyFill="1" applyBorder="1" applyAlignment="1" applyProtection="1">
      <alignment vertical="center" wrapText="1"/>
      <protection hidden="1"/>
    </xf>
    <xf numFmtId="0" fontId="6" fillId="5" borderId="0" xfId="0" applyFont="1" applyFill="1" applyAlignment="1" applyProtection="1">
      <alignment horizontal="center" vertical="center" wrapText="1"/>
      <protection hidden="1"/>
    </xf>
    <xf numFmtId="0" fontId="0" fillId="0" borderId="14" xfId="0" applyBorder="1" applyAlignment="1" applyProtection="1">
      <alignment vertical="center"/>
      <protection hidden="1"/>
    </xf>
    <xf numFmtId="0" fontId="0" fillId="6" borderId="2" xfId="0" applyFill="1" applyBorder="1" applyAlignment="1" applyProtection="1">
      <alignment vertical="center"/>
      <protection hidden="1"/>
    </xf>
    <xf numFmtId="0" fontId="0" fillId="0" borderId="30" xfId="0" applyBorder="1" applyAlignment="1" applyProtection="1">
      <alignment horizontal="center" vertical="center"/>
      <protection hidden="1"/>
    </xf>
    <xf numFmtId="0" fontId="5" fillId="9" borderId="6" xfId="0" applyFont="1" applyFill="1" applyBorder="1" applyAlignment="1" applyProtection="1">
      <alignment vertical="center"/>
      <protection hidden="1"/>
    </xf>
    <xf numFmtId="0" fontId="0" fillId="0" borderId="6" xfId="0" applyBorder="1" applyAlignment="1" applyProtection="1">
      <alignment horizontal="center" vertical="center"/>
      <protection hidden="1"/>
    </xf>
    <xf numFmtId="0" fontId="0" fillId="0" borderId="33" xfId="0" applyBorder="1" applyAlignment="1" applyProtection="1">
      <alignment horizontal="center" vertical="center"/>
      <protection hidden="1"/>
    </xf>
    <xf numFmtId="0" fontId="0" fillId="0" borderId="34" xfId="0" applyBorder="1" applyProtection="1">
      <protection hidden="1"/>
    </xf>
    <xf numFmtId="0" fontId="0" fillId="2" borderId="2" xfId="0" applyFill="1" applyBorder="1" applyAlignment="1" applyProtection="1">
      <alignment vertical="center"/>
      <protection hidden="1"/>
    </xf>
    <xf numFmtId="0" fontId="0" fillId="0" borderId="32" xfId="0" applyBorder="1" applyAlignment="1" applyProtection="1">
      <alignment horizontal="center" vertical="center"/>
      <protection hidden="1"/>
    </xf>
    <xf numFmtId="0" fontId="0" fillId="0" borderId="2" xfId="0" applyBorder="1" applyProtection="1">
      <protection hidden="1"/>
    </xf>
    <xf numFmtId="0" fontId="0" fillId="7" borderId="8" xfId="0" applyFill="1" applyBorder="1" applyAlignment="1" applyProtection="1">
      <alignment vertical="center"/>
      <protection hidden="1"/>
    </xf>
    <xf numFmtId="0" fontId="5" fillId="9" borderId="7" xfId="0" applyFont="1" applyFill="1" applyBorder="1" applyAlignment="1" applyProtection="1">
      <alignment vertical="center"/>
      <protection hidden="1"/>
    </xf>
    <xf numFmtId="0" fontId="0" fillId="0" borderId="27" xfId="0" applyBorder="1" applyAlignment="1" applyProtection="1">
      <alignment vertical="center"/>
      <protection hidden="1"/>
    </xf>
    <xf numFmtId="0" fontId="0" fillId="0" borderId="15" xfId="0" applyBorder="1" applyAlignment="1" applyProtection="1">
      <alignment vertical="center"/>
      <protection hidden="1"/>
    </xf>
    <xf numFmtId="0" fontId="0" fillId="0" borderId="2" xfId="0" applyBorder="1" applyAlignment="1" applyProtection="1">
      <alignment vertical="center"/>
      <protection hidden="1"/>
    </xf>
    <xf numFmtId="0" fontId="0" fillId="0" borderId="7" xfId="0" applyBorder="1" applyAlignment="1" applyProtection="1">
      <alignment horizontal="center" vertical="center"/>
      <protection hidden="1"/>
    </xf>
    <xf numFmtId="0" fontId="0" fillId="0" borderId="31" xfId="0" applyBorder="1" applyAlignment="1" applyProtection="1">
      <alignment horizontal="center" vertical="center"/>
      <protection hidden="1"/>
    </xf>
    <xf numFmtId="0" fontId="0" fillId="0" borderId="8" xfId="0" applyBorder="1" applyAlignment="1" applyProtection="1">
      <alignment vertical="center"/>
      <protection hidden="1"/>
    </xf>
    <xf numFmtId="0" fontId="0" fillId="0" borderId="0" xfId="0" applyAlignment="1" applyProtection="1">
      <alignment vertical="center"/>
      <protection locked="0"/>
    </xf>
    <xf numFmtId="0" fontId="1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12" fillId="0" borderId="0" xfId="0" applyFont="1"/>
    <xf numFmtId="0" fontId="16" fillId="0" borderId="0" xfId="0" applyFont="1" applyAlignment="1">
      <alignment vertical="center"/>
    </xf>
    <xf numFmtId="0" fontId="16" fillId="0" borderId="0" xfId="0" applyFont="1"/>
    <xf numFmtId="0" fontId="17" fillId="5" borderId="3" xfId="0" applyFont="1" applyFill="1" applyBorder="1" applyAlignment="1">
      <alignment vertical="center"/>
    </xf>
    <xf numFmtId="0" fontId="13" fillId="0" borderId="0" xfId="0" applyFont="1"/>
    <xf numFmtId="0" fontId="12" fillId="0" borderId="0" xfId="0" applyFont="1" applyAlignment="1">
      <alignment horizontal="center" vertical="center" textRotation="90" wrapText="1"/>
    </xf>
    <xf numFmtId="0" fontId="16" fillId="0" borderId="0" xfId="0" applyFont="1" applyAlignment="1">
      <alignment horizontal="center" vertical="center" wrapText="1"/>
    </xf>
    <xf numFmtId="0" fontId="17" fillId="5" borderId="1" xfId="0" applyFont="1" applyFill="1" applyBorder="1" applyAlignment="1">
      <alignmen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0" xfId="0" applyFont="1" applyAlignment="1">
      <alignment horizontal="center"/>
    </xf>
    <xf numFmtId="0" fontId="18" fillId="0" borderId="0" xfId="0" applyFont="1"/>
    <xf numFmtId="0" fontId="18" fillId="0" borderId="0" xfId="0" applyFont="1" applyAlignment="1">
      <alignment vertical="center"/>
    </xf>
    <xf numFmtId="0" fontId="18" fillId="0" borderId="0" xfId="0" applyFont="1" applyAlignment="1">
      <alignment horizontal="center" vertical="center"/>
    </xf>
    <xf numFmtId="0" fontId="13" fillId="0" borderId="0" xfId="0" applyFont="1" applyAlignment="1">
      <alignment horizontal="center" vertical="center"/>
    </xf>
    <xf numFmtId="0" fontId="17" fillId="5" borderId="3" xfId="0" applyFont="1" applyFill="1" applyBorder="1" applyAlignment="1">
      <alignment vertical="top"/>
    </xf>
    <xf numFmtId="0" fontId="21" fillId="0" borderId="0" xfId="0" applyFont="1" applyAlignment="1">
      <alignment horizontal="center" vertical="center"/>
    </xf>
    <xf numFmtId="0" fontId="12" fillId="0" borderId="0" xfId="0" applyFont="1" applyAlignment="1">
      <alignment horizontal="center" vertical="center"/>
    </xf>
    <xf numFmtId="0" fontId="14" fillId="0" borderId="0" xfId="0" applyFont="1" applyAlignment="1">
      <alignment horizontal="center" vertical="center"/>
    </xf>
    <xf numFmtId="0" fontId="21" fillId="0" borderId="0" xfId="0" applyFont="1" applyAlignment="1">
      <alignment vertical="center"/>
    </xf>
    <xf numFmtId="0" fontId="5" fillId="13" borderId="3" xfId="0" applyFont="1" applyFill="1" applyBorder="1" applyAlignment="1" applyProtection="1">
      <alignment horizontal="center" vertical="center" wrapText="1"/>
      <protection locked="0"/>
    </xf>
    <xf numFmtId="0" fontId="12" fillId="0" borderId="0" xfId="0" applyFont="1" applyAlignment="1">
      <alignment horizontal="right" vertical="center"/>
    </xf>
    <xf numFmtId="0" fontId="12" fillId="0" borderId="0" xfId="0" applyFont="1" applyAlignment="1">
      <alignment horizontal="left" vertical="center"/>
    </xf>
    <xf numFmtId="0" fontId="1" fillId="8" borderId="30" xfId="0" applyFont="1" applyFill="1" applyBorder="1" applyAlignment="1">
      <alignment horizontal="center" vertical="center" wrapText="1"/>
    </xf>
    <xf numFmtId="0" fontId="3" fillId="0" borderId="11" xfId="0" applyFont="1" applyBorder="1" applyAlignment="1">
      <alignment vertical="center" wrapText="1"/>
    </xf>
    <xf numFmtId="0" fontId="4" fillId="3" borderId="11" xfId="0" applyFont="1" applyFill="1" applyBorder="1" applyAlignment="1">
      <alignment horizontal="center" vertical="center" wrapText="1"/>
    </xf>
    <xf numFmtId="0" fontId="3" fillId="0" borderId="12" xfId="0" applyFont="1" applyBorder="1" applyAlignment="1">
      <alignment vertical="center" wrapText="1"/>
    </xf>
    <xf numFmtId="0" fontId="4" fillId="4" borderId="12"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0" fillId="0" borderId="0" xfId="0" applyAlignment="1">
      <alignment horizontal="center" vertical="center"/>
    </xf>
    <xf numFmtId="0" fontId="24" fillId="8" borderId="30" xfId="0" applyFont="1" applyFill="1" applyBorder="1" applyAlignment="1">
      <alignment horizontal="center" vertical="center" wrapText="1"/>
    </xf>
    <xf numFmtId="0" fontId="25" fillId="4" borderId="11"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25" fillId="7" borderId="12" xfId="0" applyFont="1" applyFill="1" applyBorder="1" applyAlignment="1">
      <alignment horizontal="center" vertical="center" wrapText="1"/>
    </xf>
    <xf numFmtId="0" fontId="0" fillId="0" borderId="0" xfId="0" applyAlignment="1" applyProtection="1">
      <alignment horizontal="left" vertical="center"/>
      <protection hidden="1"/>
    </xf>
    <xf numFmtId="0" fontId="0" fillId="0" borderId="20" xfId="0" applyBorder="1" applyAlignment="1" applyProtection="1">
      <alignment horizontal="left" vertical="center"/>
      <protection hidden="1"/>
    </xf>
    <xf numFmtId="0" fontId="0" fillId="11" borderId="0" xfId="0" applyFill="1" applyAlignment="1" applyProtection="1">
      <alignment vertical="center"/>
      <protection hidden="1"/>
    </xf>
    <xf numFmtId="0" fontId="13" fillId="0" borderId="0" xfId="0" applyFont="1" applyAlignment="1" applyProtection="1">
      <alignment horizontal="center" vertical="center"/>
      <protection locked="0"/>
    </xf>
    <xf numFmtId="0" fontId="12" fillId="13" borderId="12" xfId="0" applyFont="1" applyFill="1" applyBorder="1" applyAlignment="1" applyProtection="1">
      <alignment horizontal="center" vertical="center"/>
      <protection locked="0"/>
    </xf>
    <xf numFmtId="0" fontId="16" fillId="13" borderId="3" xfId="0" applyFont="1" applyFill="1" applyBorder="1" applyAlignment="1" applyProtection="1">
      <alignment horizontal="center" vertical="center" wrapText="1"/>
      <protection locked="0"/>
    </xf>
    <xf numFmtId="0" fontId="29" fillId="0" borderId="47" xfId="0" applyFont="1" applyBorder="1" applyAlignment="1">
      <alignment vertical="center"/>
    </xf>
    <xf numFmtId="0" fontId="30" fillId="5" borderId="3" xfId="0" applyFont="1" applyFill="1" applyBorder="1" applyAlignment="1">
      <alignment horizontal="center" vertical="center" wrapText="1"/>
    </xf>
    <xf numFmtId="0" fontId="33" fillId="0" borderId="0" xfId="0" applyFont="1"/>
    <xf numFmtId="0" fontId="32" fillId="0" borderId="0" xfId="0" applyFont="1" applyAlignment="1">
      <alignment vertical="center"/>
    </xf>
    <xf numFmtId="0" fontId="4" fillId="0" borderId="12" xfId="0" applyFont="1" applyBorder="1" applyAlignment="1">
      <alignment horizontal="center" vertical="center" wrapText="1"/>
    </xf>
    <xf numFmtId="0" fontId="3" fillId="7" borderId="12" xfId="0" applyFont="1" applyFill="1" applyBorder="1" applyAlignment="1">
      <alignment horizontal="center" vertical="center" wrapText="1"/>
    </xf>
    <xf numFmtId="0" fontId="22" fillId="18" borderId="0" xfId="0" applyFont="1" applyFill="1" applyAlignment="1">
      <alignment horizontal="center" vertical="center"/>
    </xf>
    <xf numFmtId="0" fontId="25" fillId="2" borderId="0" xfId="0" applyFont="1" applyFill="1" applyAlignment="1">
      <alignment horizontal="center" vertical="center" wrapText="1"/>
    </xf>
    <xf numFmtId="0" fontId="25" fillId="7" borderId="0" xfId="0" applyFont="1" applyFill="1" applyAlignment="1">
      <alignment horizontal="center" vertical="center" wrapText="1"/>
    </xf>
    <xf numFmtId="0" fontId="7" fillId="0" borderId="0" xfId="0" applyFont="1" applyAlignment="1">
      <alignment vertical="center"/>
    </xf>
    <xf numFmtId="0" fontId="12" fillId="0" borderId="0" xfId="0" applyFont="1" applyAlignment="1">
      <alignment horizontal="center"/>
    </xf>
    <xf numFmtId="0" fontId="12" fillId="0" borderId="0" xfId="0" applyFont="1" applyAlignment="1">
      <alignment horizontal="center" vertical="center" wrapText="1"/>
    </xf>
    <xf numFmtId="0" fontId="21" fillId="0" borderId="0" xfId="0" applyFont="1" applyAlignment="1">
      <alignment horizontal="right"/>
    </xf>
    <xf numFmtId="0" fontId="21" fillId="0" borderId="0" xfId="0" applyFont="1"/>
    <xf numFmtId="0" fontId="20" fillId="0" borderId="0" xfId="0" applyFont="1" applyAlignment="1">
      <alignment vertical="center"/>
    </xf>
    <xf numFmtId="0" fontId="0" fillId="0" borderId="0" xfId="0" applyAlignment="1">
      <alignment horizontal="center"/>
    </xf>
    <xf numFmtId="0" fontId="12" fillId="0" borderId="0" xfId="0" applyFont="1" applyAlignment="1">
      <alignment wrapText="1"/>
    </xf>
    <xf numFmtId="0" fontId="20" fillId="0" borderId="0" xfId="0" applyFont="1" applyAlignment="1">
      <alignment horizontal="center"/>
    </xf>
    <xf numFmtId="0" fontId="20" fillId="0" borderId="0" xfId="0" applyFont="1" applyAlignment="1">
      <alignment horizontal="center" vertical="center"/>
    </xf>
    <xf numFmtId="0" fontId="13" fillId="0" borderId="0" xfId="0" applyFont="1" applyAlignment="1">
      <alignment horizontal="center" vertical="center" wrapText="1"/>
    </xf>
    <xf numFmtId="0" fontId="32" fillId="11" borderId="0" xfId="0" applyFont="1" applyFill="1" applyAlignment="1">
      <alignment vertical="center"/>
    </xf>
    <xf numFmtId="0" fontId="32" fillId="11" borderId="0" xfId="0" applyFont="1" applyFill="1" applyAlignment="1">
      <alignment horizontal="center" vertical="center"/>
    </xf>
    <xf numFmtId="0" fontId="12" fillId="11" borderId="0" xfId="0" applyFont="1" applyFill="1" applyAlignment="1">
      <alignment vertical="center"/>
    </xf>
    <xf numFmtId="0" fontId="32" fillId="11" borderId="0" xfId="0" applyFont="1" applyFill="1"/>
    <xf numFmtId="0" fontId="20" fillId="0" borderId="31" xfId="0" applyFont="1" applyBorder="1" applyAlignment="1">
      <alignment horizontal="right" vertical="center"/>
    </xf>
    <xf numFmtId="0" fontId="20" fillId="0" borderId="31" xfId="0" applyFont="1" applyBorder="1" applyAlignment="1">
      <alignment horizontal="center" vertical="center"/>
    </xf>
    <xf numFmtId="0" fontId="16" fillId="0" borderId="58" xfId="0" applyFont="1" applyBorder="1" applyAlignment="1">
      <alignment horizontal="center" vertical="center"/>
    </xf>
    <xf numFmtId="0" fontId="12" fillId="0" borderId="59" xfId="0" applyFont="1" applyBorder="1" applyAlignment="1">
      <alignment horizontal="center" vertical="center" wrapText="1"/>
    </xf>
    <xf numFmtId="0" fontId="16" fillId="0" borderId="61" xfId="0" applyFont="1" applyBorder="1" applyAlignment="1">
      <alignment horizontal="center" vertical="center"/>
    </xf>
    <xf numFmtId="0" fontId="12" fillId="0" borderId="63" xfId="0" applyFont="1" applyBorder="1" applyAlignment="1">
      <alignment horizontal="center" wrapText="1"/>
    </xf>
    <xf numFmtId="0" fontId="16" fillId="0" borderId="64" xfId="0" applyFont="1" applyBorder="1" applyAlignment="1">
      <alignment horizontal="center" vertical="center"/>
    </xf>
    <xf numFmtId="0" fontId="12" fillId="0" borderId="65" xfId="0" applyFont="1" applyBorder="1" applyAlignment="1">
      <alignment horizontal="center" vertical="center" wrapText="1"/>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2" fillId="0" borderId="68" xfId="0" applyFont="1" applyBorder="1" applyAlignment="1">
      <alignment horizontal="center" vertical="center" wrapText="1"/>
    </xf>
    <xf numFmtId="0" fontId="16" fillId="0" borderId="0" xfId="0" applyFont="1" applyAlignment="1">
      <alignment horizontal="center" wrapText="1"/>
    </xf>
    <xf numFmtId="0" fontId="47" fillId="0" borderId="0" xfId="0" applyFont="1"/>
    <xf numFmtId="0" fontId="5" fillId="20" borderId="3" xfId="0" applyFont="1" applyFill="1" applyBorder="1" applyAlignment="1">
      <alignment horizontal="center" vertical="center" wrapText="1"/>
    </xf>
    <xf numFmtId="169" fontId="0" fillId="19" borderId="0" xfId="2" applyNumberFormat="1" applyFont="1" applyFill="1" applyAlignment="1" applyProtection="1">
      <alignment horizontal="center" vertical="center"/>
    </xf>
    <xf numFmtId="0" fontId="44" fillId="19" borderId="0" xfId="0" applyFont="1" applyFill="1" applyAlignment="1">
      <alignment horizontal="center" vertical="center"/>
    </xf>
    <xf numFmtId="0" fontId="37" fillId="0" borderId="69" xfId="0" applyFont="1" applyBorder="1" applyAlignment="1">
      <alignment horizontal="center" vertical="center"/>
    </xf>
    <xf numFmtId="0" fontId="37" fillId="0" borderId="12" xfId="0" applyFont="1" applyBorder="1" applyAlignment="1">
      <alignment horizontal="center" vertical="center"/>
    </xf>
    <xf numFmtId="0" fontId="37" fillId="0" borderId="77" xfId="0" applyFont="1" applyBorder="1" applyAlignment="1">
      <alignment horizontal="center" vertical="center" wrapText="1"/>
    </xf>
    <xf numFmtId="168" fontId="37" fillId="20" borderId="12" xfId="3" applyNumberFormat="1" applyFont="1" applyFill="1" applyBorder="1" applyAlignment="1" applyProtection="1">
      <alignment horizontal="center" vertical="center"/>
    </xf>
    <xf numFmtId="1" fontId="37" fillId="20" borderId="12" xfId="0" applyNumberFormat="1" applyFont="1" applyFill="1" applyBorder="1" applyAlignment="1">
      <alignment horizontal="center" vertical="center"/>
    </xf>
    <xf numFmtId="0" fontId="37" fillId="20" borderId="12" xfId="0" applyFont="1" applyFill="1" applyBorder="1" applyAlignment="1">
      <alignment horizontal="center" vertical="center"/>
    </xf>
    <xf numFmtId="9" fontId="37" fillId="20" borderId="77" xfId="0" applyNumberFormat="1" applyFont="1" applyFill="1" applyBorder="1" applyAlignment="1">
      <alignment horizontal="center" vertical="center"/>
    </xf>
    <xf numFmtId="0" fontId="37" fillId="0" borderId="71" xfId="0" applyFont="1" applyBorder="1" applyAlignment="1">
      <alignment horizontal="center" vertical="center"/>
    </xf>
    <xf numFmtId="168" fontId="37" fillId="20" borderId="76" xfId="3" applyNumberFormat="1" applyFont="1" applyFill="1" applyBorder="1" applyAlignment="1" applyProtection="1">
      <alignment horizontal="center" vertical="center"/>
    </xf>
    <xf numFmtId="1" fontId="37" fillId="20" borderId="76" xfId="0" applyNumberFormat="1" applyFont="1" applyFill="1" applyBorder="1" applyAlignment="1">
      <alignment horizontal="center" vertical="center"/>
    </xf>
    <xf numFmtId="9" fontId="37" fillId="20" borderId="73" xfId="0" applyNumberFormat="1" applyFont="1" applyFill="1" applyBorder="1" applyAlignment="1">
      <alignment horizontal="center" vertical="center"/>
    </xf>
    <xf numFmtId="0" fontId="36" fillId="21" borderId="70" xfId="0" applyFont="1" applyFill="1" applyBorder="1" applyAlignment="1">
      <alignment horizontal="center" vertical="center"/>
    </xf>
    <xf numFmtId="9" fontId="39" fillId="20" borderId="72" xfId="0" applyNumberFormat="1" applyFont="1" applyFill="1" applyBorder="1" applyAlignment="1">
      <alignment horizontal="center" vertical="center"/>
    </xf>
    <xf numFmtId="1" fontId="43" fillId="20" borderId="72" xfId="0" applyNumberFormat="1" applyFont="1" applyFill="1" applyBorder="1" applyAlignment="1">
      <alignment horizontal="center" vertical="center"/>
    </xf>
    <xf numFmtId="0" fontId="38" fillId="19" borderId="0" xfId="0" applyFont="1" applyFill="1" applyAlignment="1">
      <alignment horizontal="right" vertical="center"/>
    </xf>
    <xf numFmtId="0" fontId="40" fillId="19" borderId="0" xfId="0" applyFont="1" applyFill="1" applyAlignment="1">
      <alignment horizontal="center" vertical="center"/>
    </xf>
    <xf numFmtId="1" fontId="42" fillId="19" borderId="0" xfId="0" applyNumberFormat="1" applyFont="1" applyFill="1" applyAlignment="1">
      <alignment horizontal="center" vertical="center"/>
    </xf>
    <xf numFmtId="1" fontId="37" fillId="19" borderId="0" xfId="0" applyNumberFormat="1" applyFont="1" applyFill="1" applyAlignment="1">
      <alignment horizontal="center" vertical="center"/>
    </xf>
    <xf numFmtId="0" fontId="39" fillId="20" borderId="86" xfId="0" applyFont="1" applyFill="1" applyBorder="1" applyAlignment="1">
      <alignment vertical="center"/>
    </xf>
    <xf numFmtId="0" fontId="37" fillId="0" borderId="120" xfId="0" applyFont="1" applyBorder="1" applyAlignment="1">
      <alignment horizontal="center" vertical="center" wrapText="1"/>
    </xf>
    <xf numFmtId="0" fontId="37" fillId="0" borderId="12" xfId="0" applyFont="1" applyBorder="1" applyAlignment="1">
      <alignment horizontal="center" vertical="center" wrapText="1"/>
    </xf>
    <xf numFmtId="0" fontId="37" fillId="19" borderId="0" xfId="0" applyFont="1" applyFill="1" applyAlignment="1">
      <alignment horizontal="center" vertical="center"/>
    </xf>
    <xf numFmtId="0" fontId="37" fillId="20" borderId="69" xfId="0" applyFont="1" applyFill="1" applyBorder="1" applyAlignment="1">
      <alignment horizontal="center" vertical="center"/>
    </xf>
    <xf numFmtId="9" fontId="37" fillId="20" borderId="12" xfId="0" applyNumberFormat="1" applyFont="1" applyFill="1" applyBorder="1" applyAlignment="1">
      <alignment horizontal="center" vertical="center"/>
    </xf>
    <xf numFmtId="167" fontId="41" fillId="20" borderId="12" xfId="0" applyNumberFormat="1" applyFont="1" applyFill="1" applyBorder="1" applyAlignment="1">
      <alignment horizontal="center" vertical="center"/>
    </xf>
    <xf numFmtId="169" fontId="37" fillId="20" borderId="12" xfId="2" applyNumberFormat="1" applyFont="1" applyFill="1" applyBorder="1" applyAlignment="1" applyProtection="1">
      <alignment horizontal="center" vertical="center"/>
    </xf>
    <xf numFmtId="9" fontId="37" fillId="19" borderId="0" xfId="0" applyNumberFormat="1" applyFont="1" applyFill="1" applyAlignment="1">
      <alignment horizontal="center" vertical="center"/>
    </xf>
    <xf numFmtId="1" fontId="37" fillId="20" borderId="84" xfId="0" applyNumberFormat="1" applyFont="1" applyFill="1" applyBorder="1" applyAlignment="1">
      <alignment horizontal="center" vertical="center"/>
    </xf>
    <xf numFmtId="9" fontId="37" fillId="20" borderId="84" xfId="0" applyNumberFormat="1" applyFont="1" applyFill="1" applyBorder="1" applyAlignment="1">
      <alignment horizontal="center" vertical="center"/>
    </xf>
    <xf numFmtId="167" fontId="41" fillId="20" borderId="84" xfId="0" applyNumberFormat="1" applyFont="1" applyFill="1" applyBorder="1" applyAlignment="1">
      <alignment horizontal="center" vertical="center"/>
    </xf>
    <xf numFmtId="169" fontId="37" fillId="20" borderId="84" xfId="2" applyNumberFormat="1" applyFont="1" applyFill="1" applyBorder="1" applyAlignment="1" applyProtection="1">
      <alignment horizontal="center" vertical="center"/>
    </xf>
    <xf numFmtId="0" fontId="37" fillId="20" borderId="71" xfId="0" applyFont="1" applyFill="1" applyBorder="1" applyAlignment="1">
      <alignment horizontal="center" vertical="center"/>
    </xf>
    <xf numFmtId="9" fontId="37" fillId="20" borderId="76" xfId="0" applyNumberFormat="1" applyFont="1" applyFill="1" applyBorder="1" applyAlignment="1">
      <alignment horizontal="center" vertical="center"/>
    </xf>
    <xf numFmtId="169" fontId="37" fillId="20" borderId="76" xfId="2" applyNumberFormat="1" applyFont="1" applyFill="1" applyBorder="1" applyAlignment="1" applyProtection="1">
      <alignment horizontal="center" vertical="center"/>
    </xf>
    <xf numFmtId="0" fontId="39" fillId="0" borderId="119" xfId="0" applyFont="1" applyBorder="1" applyAlignment="1">
      <alignment horizontal="center" vertical="center"/>
    </xf>
    <xf numFmtId="0" fontId="39" fillId="0" borderId="70" xfId="0" applyFont="1" applyBorder="1" applyAlignment="1">
      <alignment horizontal="center" vertical="center"/>
    </xf>
    <xf numFmtId="1" fontId="39" fillId="20" borderId="72" xfId="0" applyNumberFormat="1" applyFont="1" applyFill="1" applyBorder="1" applyAlignment="1">
      <alignment horizontal="center" vertical="center"/>
    </xf>
    <xf numFmtId="0" fontId="2" fillId="0" borderId="72" xfId="0" applyFont="1" applyBorder="1" applyAlignment="1">
      <alignment horizontal="center" vertical="center"/>
    </xf>
    <xf numFmtId="169" fontId="39" fillId="20" borderId="72" xfId="2" applyNumberFormat="1" applyFont="1" applyFill="1" applyBorder="1" applyAlignment="1" applyProtection="1">
      <alignment horizontal="center" vertical="center"/>
    </xf>
    <xf numFmtId="0" fontId="39" fillId="20" borderId="58" xfId="0" applyFont="1" applyFill="1" applyBorder="1" applyAlignment="1">
      <alignment vertical="center"/>
    </xf>
    <xf numFmtId="0" fontId="37" fillId="0" borderId="69" xfId="0" applyFont="1" applyBorder="1" applyAlignment="1">
      <alignment horizontal="center" vertical="center" wrapText="1"/>
    </xf>
    <xf numFmtId="0" fontId="37" fillId="0" borderId="80" xfId="0" applyFont="1" applyBorder="1" applyAlignment="1">
      <alignment horizontal="center" vertical="center" wrapText="1"/>
    </xf>
    <xf numFmtId="167" fontId="40" fillId="20" borderId="12" xfId="0" applyNumberFormat="1" applyFont="1" applyFill="1" applyBorder="1" applyAlignment="1">
      <alignment horizontal="center" vertical="center"/>
    </xf>
    <xf numFmtId="167" fontId="40" fillId="19" borderId="78" xfId="0" applyNumberFormat="1" applyFont="1" applyFill="1" applyBorder="1" applyAlignment="1">
      <alignment horizontal="center" vertical="center"/>
    </xf>
    <xf numFmtId="167" fontId="40" fillId="20" borderId="76" xfId="0" applyNumberFormat="1" applyFont="1" applyFill="1" applyBorder="1" applyAlignment="1">
      <alignment horizontal="center" vertical="center"/>
    </xf>
    <xf numFmtId="167" fontId="40" fillId="19" borderId="74" xfId="0" applyNumberFormat="1" applyFont="1" applyFill="1" applyBorder="1" applyAlignment="1">
      <alignment horizontal="center" vertical="center"/>
    </xf>
    <xf numFmtId="0" fontId="49" fillId="19" borderId="61" xfId="0" applyFont="1" applyFill="1" applyBorder="1" applyAlignment="1">
      <alignment horizontal="center" vertical="center"/>
    </xf>
    <xf numFmtId="9" fontId="39" fillId="6" borderId="72" xfId="0" applyNumberFormat="1" applyFont="1" applyFill="1" applyBorder="1" applyAlignment="1">
      <alignment horizontal="center" vertical="center"/>
    </xf>
    <xf numFmtId="0" fontId="50" fillId="19" borderId="0" xfId="0" applyFont="1" applyFill="1" applyAlignment="1">
      <alignment horizontal="left" vertical="center"/>
    </xf>
    <xf numFmtId="0" fontId="38" fillId="19" borderId="0" xfId="0" applyFont="1" applyFill="1" applyAlignment="1">
      <alignment horizontal="center" vertical="center"/>
    </xf>
    <xf numFmtId="0" fontId="39" fillId="0" borderId="58" xfId="0" applyFont="1" applyBorder="1" applyAlignment="1">
      <alignment vertical="center"/>
    </xf>
    <xf numFmtId="0" fontId="39" fillId="20" borderId="57" xfId="0" applyFont="1" applyFill="1" applyBorder="1" applyAlignment="1">
      <alignment vertical="center"/>
    </xf>
    <xf numFmtId="0" fontId="39" fillId="0" borderId="85" xfId="0" applyFont="1" applyBorder="1" applyAlignment="1">
      <alignment vertical="center"/>
    </xf>
    <xf numFmtId="0" fontId="40" fillId="19" borderId="77" xfId="0" applyFont="1" applyFill="1" applyBorder="1" applyAlignment="1">
      <alignment horizontal="center" vertical="center" wrapText="1"/>
    </xf>
    <xf numFmtId="0" fontId="40" fillId="19" borderId="79" xfId="0" applyFont="1" applyFill="1" applyBorder="1" applyAlignment="1">
      <alignment horizontal="center" vertical="center" wrapText="1"/>
    </xf>
    <xf numFmtId="0" fontId="48" fillId="20" borderId="1" xfId="0" applyFont="1" applyFill="1" applyBorder="1" applyAlignment="1">
      <alignment horizontal="center" vertical="center" wrapText="1"/>
    </xf>
    <xf numFmtId="167" fontId="39" fillId="20" borderId="72" xfId="0" applyNumberFormat="1" applyFont="1" applyFill="1" applyBorder="1" applyAlignment="1">
      <alignment horizontal="center" vertical="center"/>
    </xf>
    <xf numFmtId="169" fontId="40" fillId="20" borderId="79" xfId="2" applyNumberFormat="1" applyFont="1" applyFill="1" applyBorder="1" applyAlignment="1" applyProtection="1">
      <alignment vertical="center"/>
    </xf>
    <xf numFmtId="169" fontId="40" fillId="20" borderId="77" xfId="2" applyNumberFormat="1" applyFont="1" applyFill="1" applyBorder="1" applyAlignment="1" applyProtection="1">
      <alignment vertical="center"/>
    </xf>
    <xf numFmtId="169" fontId="40" fillId="20" borderId="75" xfId="2" applyNumberFormat="1" applyFont="1" applyFill="1" applyBorder="1" applyAlignment="1" applyProtection="1">
      <alignment vertical="center"/>
    </xf>
    <xf numFmtId="169" fontId="40" fillId="20" borderId="73" xfId="2" applyNumberFormat="1" applyFont="1" applyFill="1" applyBorder="1" applyAlignment="1" applyProtection="1">
      <alignment vertical="center"/>
    </xf>
    <xf numFmtId="169" fontId="43" fillId="20" borderId="117" xfId="2" applyNumberFormat="1" applyFont="1" applyFill="1" applyBorder="1" applyAlignment="1" applyProtection="1">
      <alignment horizontal="center" vertical="center"/>
    </xf>
    <xf numFmtId="169" fontId="43" fillId="20" borderId="66" xfId="2" applyNumberFormat="1" applyFont="1" applyFill="1" applyBorder="1" applyAlignment="1" applyProtection="1">
      <alignment horizontal="center" vertical="center"/>
    </xf>
    <xf numFmtId="168" fontId="41" fillId="20" borderId="12" xfId="3" applyNumberFormat="1" applyFont="1" applyFill="1" applyBorder="1" applyAlignment="1" applyProtection="1">
      <alignment horizontal="center" vertical="center"/>
    </xf>
    <xf numFmtId="9" fontId="43" fillId="20" borderId="66" xfId="0" applyNumberFormat="1" applyFont="1" applyFill="1" applyBorder="1" applyAlignment="1">
      <alignment horizontal="center" vertical="center"/>
    </xf>
    <xf numFmtId="1" fontId="37" fillId="20" borderId="127" xfId="0" applyNumberFormat="1" applyFont="1" applyFill="1" applyBorder="1" applyAlignment="1">
      <alignment horizontal="center" vertical="center"/>
    </xf>
    <xf numFmtId="9" fontId="37" fillId="20" borderId="127" xfId="0" applyNumberFormat="1" applyFont="1" applyFill="1" applyBorder="1" applyAlignment="1">
      <alignment horizontal="center" vertical="center"/>
    </xf>
    <xf numFmtId="167" fontId="41" fillId="20" borderId="127" xfId="0" applyNumberFormat="1" applyFont="1" applyFill="1" applyBorder="1" applyAlignment="1">
      <alignment horizontal="center" vertical="center"/>
    </xf>
    <xf numFmtId="169" fontId="37" fillId="20" borderId="127" xfId="2" applyNumberFormat="1" applyFont="1" applyFill="1" applyBorder="1" applyAlignment="1" applyProtection="1">
      <alignment horizontal="center" vertical="center"/>
    </xf>
    <xf numFmtId="0" fontId="37" fillId="20" borderId="129" xfId="0" applyFont="1" applyFill="1" applyBorder="1" applyAlignment="1">
      <alignment horizontal="center" vertical="center"/>
    </xf>
    <xf numFmtId="1" fontId="37" fillId="20" borderId="80" xfId="0" applyNumberFormat="1" applyFont="1" applyFill="1" applyBorder="1" applyAlignment="1">
      <alignment horizontal="center" vertical="center"/>
    </xf>
    <xf numFmtId="9" fontId="37" fillId="20" borderId="80" xfId="0" applyNumberFormat="1" applyFont="1" applyFill="1" applyBorder="1" applyAlignment="1">
      <alignment horizontal="center" vertical="center"/>
    </xf>
    <xf numFmtId="169" fontId="37" fillId="20" borderId="80" xfId="2" applyNumberFormat="1" applyFont="1" applyFill="1" applyBorder="1" applyAlignment="1" applyProtection="1">
      <alignment horizontal="center" vertical="center"/>
    </xf>
    <xf numFmtId="167" fontId="40" fillId="19" borderId="43" xfId="0" applyNumberFormat="1" applyFont="1" applyFill="1" applyBorder="1" applyAlignment="1">
      <alignment horizontal="center" vertical="center"/>
    </xf>
    <xf numFmtId="0" fontId="37" fillId="20" borderId="130" xfId="0" applyFont="1" applyFill="1" applyBorder="1" applyAlignment="1">
      <alignment horizontal="center" vertical="center"/>
    </xf>
    <xf numFmtId="167" fontId="39" fillId="0" borderId="72" xfId="0" applyNumberFormat="1" applyFont="1" applyBorder="1" applyAlignment="1">
      <alignment horizontal="center" vertical="center"/>
    </xf>
    <xf numFmtId="0" fontId="39" fillId="0" borderId="118" xfId="0" applyFont="1" applyBorder="1" applyAlignment="1">
      <alignment vertical="center"/>
    </xf>
    <xf numFmtId="0" fontId="37" fillId="0" borderId="43" xfId="0" applyFont="1" applyBorder="1" applyAlignment="1">
      <alignment horizontal="center" vertical="center" wrapText="1"/>
    </xf>
    <xf numFmtId="9" fontId="39" fillId="6" borderId="132" xfId="0" applyNumberFormat="1" applyFont="1" applyFill="1" applyBorder="1" applyAlignment="1">
      <alignment horizontal="center" vertical="center"/>
    </xf>
    <xf numFmtId="0" fontId="40" fillId="0" borderId="12" xfId="0" applyFont="1" applyBorder="1" applyAlignment="1">
      <alignment horizontal="center" vertical="center" wrapText="1"/>
    </xf>
    <xf numFmtId="169" fontId="40" fillId="20" borderId="12" xfId="2" applyNumberFormat="1" applyFont="1" applyFill="1" applyBorder="1" applyAlignment="1">
      <alignment horizontal="center" vertical="center"/>
    </xf>
    <xf numFmtId="169" fontId="40" fillId="20" borderId="80" xfId="2" applyNumberFormat="1" applyFont="1" applyFill="1" applyBorder="1" applyAlignment="1">
      <alignment horizontal="center" vertical="center"/>
    </xf>
    <xf numFmtId="169" fontId="40" fillId="20" borderId="76" xfId="2" applyNumberFormat="1" applyFont="1" applyFill="1" applyBorder="1" applyAlignment="1">
      <alignment horizontal="center" vertical="center"/>
    </xf>
    <xf numFmtId="169" fontId="43" fillId="20" borderId="72" xfId="2" applyNumberFormat="1" applyFont="1" applyFill="1" applyBorder="1" applyAlignment="1">
      <alignment horizontal="center" vertical="center"/>
    </xf>
    <xf numFmtId="9" fontId="37" fillId="20" borderId="12" xfId="3" applyFont="1" applyFill="1" applyBorder="1" applyAlignment="1">
      <alignment horizontal="center" vertical="center"/>
    </xf>
    <xf numFmtId="9" fontId="37" fillId="20" borderId="80" xfId="3" applyFont="1" applyFill="1" applyBorder="1" applyAlignment="1">
      <alignment horizontal="center" vertical="center"/>
    </xf>
    <xf numFmtId="9" fontId="37" fillId="20" borderId="76" xfId="3" applyFont="1" applyFill="1" applyBorder="1" applyAlignment="1">
      <alignment horizontal="center" vertical="center"/>
    </xf>
    <xf numFmtId="0" fontId="39" fillId="0" borderId="59" xfId="0" applyFont="1" applyBorder="1" applyAlignment="1">
      <alignment vertical="center"/>
    </xf>
    <xf numFmtId="9" fontId="37" fillId="0" borderId="77" xfId="0" applyNumberFormat="1" applyFont="1" applyBorder="1" applyAlignment="1">
      <alignment horizontal="center" vertical="center"/>
    </xf>
    <xf numFmtId="9" fontId="37" fillId="0" borderId="62" xfId="0" applyNumberFormat="1" applyFont="1" applyBorder="1" applyAlignment="1">
      <alignment horizontal="center" vertical="center"/>
    </xf>
    <xf numFmtId="9" fontId="37" fillId="0" borderId="73" xfId="0" applyNumberFormat="1" applyFont="1" applyBorder="1" applyAlignment="1">
      <alignment horizontal="center" vertical="center"/>
    </xf>
    <xf numFmtId="9" fontId="39" fillId="19" borderId="66" xfId="0" applyNumberFormat="1" applyFont="1" applyFill="1" applyBorder="1" applyAlignment="1">
      <alignment horizontal="center" vertical="center"/>
    </xf>
    <xf numFmtId="0" fontId="39" fillId="21" borderId="83" xfId="0" applyFont="1" applyFill="1" applyBorder="1" applyAlignment="1">
      <alignment horizontal="left" vertical="center"/>
    </xf>
    <xf numFmtId="0" fontId="39" fillId="21" borderId="82" xfId="0" applyFont="1" applyFill="1" applyBorder="1" applyAlignment="1">
      <alignment horizontal="left" vertical="center"/>
    </xf>
    <xf numFmtId="0" fontId="39" fillId="21" borderId="81" xfId="0" applyFont="1" applyFill="1" applyBorder="1" applyAlignment="1">
      <alignment horizontal="left" vertical="center"/>
    </xf>
    <xf numFmtId="0" fontId="12" fillId="0" borderId="0" xfId="0" quotePrefix="1" applyFont="1" applyAlignment="1">
      <alignment horizontal="left" vertical="center" wrapText="1"/>
    </xf>
    <xf numFmtId="0" fontId="12" fillId="0" borderId="0" xfId="0" applyFont="1" applyAlignment="1">
      <alignment horizontal="left" vertical="center" wrapText="1"/>
    </xf>
    <xf numFmtId="0" fontId="10" fillId="0" borderId="0" xfId="1" applyAlignment="1" applyProtection="1">
      <alignment horizontal="left" vertical="center" indent="1"/>
      <protection locked="0"/>
    </xf>
    <xf numFmtId="0" fontId="16" fillId="20" borderId="3" xfId="0" applyFont="1" applyFill="1" applyBorder="1" applyAlignment="1">
      <alignment horizontal="left" vertical="center" wrapText="1"/>
    </xf>
    <xf numFmtId="0" fontId="16" fillId="20" borderId="4" xfId="0" applyFont="1" applyFill="1" applyBorder="1" applyAlignment="1">
      <alignment horizontal="left" vertical="center" wrapText="1"/>
    </xf>
    <xf numFmtId="0" fontId="16" fillId="20" borderId="5" xfId="0" applyFont="1" applyFill="1" applyBorder="1" applyAlignment="1">
      <alignment horizontal="left" vertical="center" wrapText="1"/>
    </xf>
    <xf numFmtId="0" fontId="31" fillId="5" borderId="3" xfId="1" applyFont="1" applyFill="1" applyBorder="1" applyAlignment="1" applyProtection="1">
      <alignment horizontal="center" vertical="center" wrapText="1"/>
      <protection locked="0"/>
    </xf>
    <xf numFmtId="0" fontId="31" fillId="5" borderId="5" xfId="1" applyFont="1" applyFill="1" applyBorder="1" applyAlignment="1" applyProtection="1">
      <alignment horizontal="center" vertical="center" wrapText="1"/>
      <protection locked="0"/>
    </xf>
    <xf numFmtId="166" fontId="16" fillId="20" borderId="3" xfId="0" applyNumberFormat="1" applyFont="1" applyFill="1" applyBorder="1" applyAlignment="1">
      <alignment horizontal="left" vertical="center" wrapText="1"/>
    </xf>
    <xf numFmtId="166" fontId="16" fillId="20" borderId="4" xfId="0" applyNumberFormat="1" applyFont="1" applyFill="1" applyBorder="1" applyAlignment="1">
      <alignment horizontal="left" vertical="center" wrapText="1"/>
    </xf>
    <xf numFmtId="0" fontId="16" fillId="13" borderId="3" xfId="0" applyFont="1" applyFill="1" applyBorder="1" applyAlignment="1" applyProtection="1">
      <alignment horizontal="center" vertical="center" wrapText="1"/>
      <protection locked="0"/>
    </xf>
    <xf numFmtId="0" fontId="16" fillId="13" borderId="5" xfId="0" applyFont="1" applyFill="1" applyBorder="1" applyAlignment="1" applyProtection="1">
      <alignment horizontal="center" vertical="center" wrapText="1"/>
      <protection locked="0"/>
    </xf>
    <xf numFmtId="0" fontId="16" fillId="13" borderId="4" xfId="0" applyFont="1" applyFill="1" applyBorder="1" applyAlignment="1" applyProtection="1">
      <alignment horizontal="center" vertical="center" wrapText="1"/>
      <protection locked="0"/>
    </xf>
    <xf numFmtId="0" fontId="12" fillId="0" borderId="48" xfId="0" applyFont="1" applyBorder="1" applyAlignment="1">
      <alignment horizontal="left" vertical="center" wrapText="1"/>
    </xf>
    <xf numFmtId="0" fontId="12" fillId="0" borderId="49" xfId="0" applyFont="1" applyBorder="1" applyAlignment="1">
      <alignment horizontal="left" vertical="center" wrapText="1"/>
    </xf>
    <xf numFmtId="0" fontId="12" fillId="0" borderId="50" xfId="0" applyFont="1" applyBorder="1" applyAlignment="1">
      <alignment horizontal="left" vertical="center" wrapText="1"/>
    </xf>
    <xf numFmtId="0" fontId="27" fillId="5" borderId="3" xfId="0" applyFont="1" applyFill="1" applyBorder="1" applyAlignment="1">
      <alignment horizontal="center" vertical="center" wrapText="1"/>
    </xf>
    <xf numFmtId="0" fontId="27" fillId="5" borderId="5" xfId="0" applyFont="1" applyFill="1" applyBorder="1" applyAlignment="1">
      <alignment horizontal="center" vertical="center" wrapText="1"/>
    </xf>
    <xf numFmtId="0" fontId="27" fillId="5" borderId="4" xfId="0" applyFont="1" applyFill="1" applyBorder="1" applyAlignment="1">
      <alignment horizontal="center"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2" fillId="0" borderId="56" xfId="0" applyFont="1" applyBorder="1" applyAlignment="1">
      <alignment horizontal="left" vertical="center" wrapText="1"/>
    </xf>
    <xf numFmtId="0" fontId="16" fillId="0" borderId="0" xfId="0" applyFont="1" applyAlignment="1">
      <alignment horizontal="center" wrapText="1"/>
    </xf>
    <xf numFmtId="0" fontId="27" fillId="5" borderId="6" xfId="0" applyFont="1" applyFill="1" applyBorder="1" applyAlignment="1">
      <alignment horizontal="left" vertical="center"/>
    </xf>
    <xf numFmtId="0" fontId="27" fillId="5" borderId="0" xfId="0" applyFont="1" applyFill="1" applyAlignment="1">
      <alignment horizontal="left" vertical="center"/>
    </xf>
    <xf numFmtId="0" fontId="15" fillId="0" borderId="0" xfId="0" applyFont="1" applyAlignment="1">
      <alignment horizontal="left" vertical="center" wrapText="1"/>
    </xf>
    <xf numFmtId="0" fontId="11" fillId="0" borderId="0" xfId="0" applyFont="1" applyAlignment="1">
      <alignment horizontal="center" vertical="center"/>
    </xf>
    <xf numFmtId="0" fontId="27" fillId="5" borderId="1" xfId="0" applyFont="1" applyFill="1" applyBorder="1" applyAlignment="1">
      <alignment horizontal="center" vertical="center" wrapText="1"/>
    </xf>
    <xf numFmtId="0" fontId="12" fillId="0" borderId="2" xfId="0" applyFont="1" applyBorder="1" applyAlignment="1">
      <alignment horizontal="center" vertical="center" textRotation="90" wrapText="1"/>
    </xf>
    <xf numFmtId="0" fontId="16" fillId="10" borderId="3" xfId="0" applyFont="1" applyFill="1" applyBorder="1" applyAlignment="1" applyProtection="1">
      <alignment horizontal="left" vertical="center" wrapText="1"/>
      <protection hidden="1"/>
    </xf>
    <xf numFmtId="0" fontId="16" fillId="10" borderId="4" xfId="0" applyFont="1" applyFill="1" applyBorder="1" applyAlignment="1" applyProtection="1">
      <alignment horizontal="left" vertical="center" wrapText="1"/>
      <protection hidden="1"/>
    </xf>
    <xf numFmtId="0" fontId="10" fillId="0" borderId="0" xfId="1" applyAlignment="1" applyProtection="1">
      <alignment horizontal="left" vertical="center"/>
      <protection locked="0"/>
    </xf>
    <xf numFmtId="0" fontId="16" fillId="13" borderId="3" xfId="0" applyFont="1" applyFill="1" applyBorder="1" applyAlignment="1" applyProtection="1">
      <alignment horizontal="left" vertical="center" wrapText="1"/>
      <protection locked="0"/>
    </xf>
    <xf numFmtId="0" fontId="16" fillId="13" borderId="5" xfId="0" applyFont="1" applyFill="1" applyBorder="1" applyAlignment="1" applyProtection="1">
      <alignment horizontal="left" vertical="center" wrapText="1"/>
      <protection locked="0"/>
    </xf>
    <xf numFmtId="0" fontId="16" fillId="13" borderId="4" xfId="0" applyFont="1" applyFill="1" applyBorder="1" applyAlignment="1" applyProtection="1">
      <alignment horizontal="left" vertical="center" wrapText="1"/>
      <protection locked="0"/>
    </xf>
    <xf numFmtId="0" fontId="12" fillId="0" borderId="62" xfId="0" applyFont="1" applyBorder="1" applyAlignment="1">
      <alignment horizontal="center" vertical="center" wrapText="1"/>
    </xf>
    <xf numFmtId="0" fontId="12" fillId="0" borderId="66" xfId="0" applyFont="1" applyBorder="1" applyAlignment="1">
      <alignment horizontal="center" vertical="center" wrapText="1"/>
    </xf>
    <xf numFmtId="0" fontId="34" fillId="7" borderId="10" xfId="0" applyFont="1" applyFill="1" applyBorder="1" applyAlignment="1">
      <alignment horizontal="left" vertical="center" wrapText="1"/>
    </xf>
    <xf numFmtId="0" fontId="34" fillId="7" borderId="52" xfId="0" applyFont="1" applyFill="1" applyBorder="1" applyAlignment="1">
      <alignment horizontal="left" vertical="center" wrapText="1"/>
    </xf>
    <xf numFmtId="0" fontId="28" fillId="2" borderId="33" xfId="0" applyFont="1" applyFill="1" applyBorder="1" applyAlignment="1">
      <alignment horizontal="left" vertical="center" wrapText="1"/>
    </xf>
    <xf numFmtId="0" fontId="28" fillId="2" borderId="10" xfId="0" applyFont="1" applyFill="1" applyBorder="1" applyAlignment="1">
      <alignment horizontal="left" vertical="center" wrapText="1"/>
    </xf>
    <xf numFmtId="0" fontId="28" fillId="2" borderId="52" xfId="0" applyFont="1" applyFill="1" applyBorder="1" applyAlignment="1">
      <alignment horizontal="left" vertical="center" wrapText="1"/>
    </xf>
    <xf numFmtId="0" fontId="28" fillId="2" borderId="7" xfId="0" applyFont="1" applyFill="1" applyBorder="1" applyAlignment="1">
      <alignment horizontal="left" vertical="center" wrapText="1"/>
    </xf>
    <xf numFmtId="0" fontId="28" fillId="2" borderId="9" xfId="0" applyFont="1" applyFill="1" applyBorder="1" applyAlignment="1">
      <alignment horizontal="left" vertical="center" wrapText="1"/>
    </xf>
    <xf numFmtId="0" fontId="28" fillId="2" borderId="53" xfId="0" applyFont="1" applyFill="1" applyBorder="1" applyAlignment="1">
      <alignment horizontal="left" vertical="center" wrapText="1"/>
    </xf>
    <xf numFmtId="0" fontId="12" fillId="0" borderId="67" xfId="0" applyFont="1" applyBorder="1" applyAlignment="1">
      <alignment horizontal="center" vertical="center" wrapText="1"/>
    </xf>
    <xf numFmtId="0" fontId="12" fillId="0" borderId="60" xfId="0" applyFont="1" applyBorder="1" applyAlignment="1">
      <alignment horizontal="center" vertical="center" wrapText="1"/>
    </xf>
    <xf numFmtId="0" fontId="12" fillId="0" borderId="57" xfId="0" applyFont="1" applyBorder="1" applyAlignment="1">
      <alignment horizontal="center" wrapText="1"/>
    </xf>
    <xf numFmtId="0" fontId="12" fillId="0" borderId="69" xfId="0" applyFont="1" applyBorder="1" applyAlignment="1">
      <alignment horizontal="center" wrapText="1"/>
    </xf>
    <xf numFmtId="0" fontId="12" fillId="0" borderId="60" xfId="0" applyFont="1" applyBorder="1" applyAlignment="1">
      <alignment horizontal="center" wrapText="1"/>
    </xf>
    <xf numFmtId="0" fontId="28" fillId="12" borderId="33" xfId="0" applyFont="1" applyFill="1" applyBorder="1" applyAlignment="1">
      <alignment horizontal="left" vertical="center" wrapText="1"/>
    </xf>
    <xf numFmtId="0" fontId="28" fillId="12" borderId="10" xfId="0" applyFont="1" applyFill="1" applyBorder="1" applyAlignment="1">
      <alignment horizontal="left" vertical="center" wrapText="1"/>
    </xf>
    <xf numFmtId="0" fontId="28" fillId="12" borderId="52" xfId="0" applyFont="1" applyFill="1" applyBorder="1" applyAlignment="1">
      <alignment horizontal="left" vertical="center" wrapText="1"/>
    </xf>
    <xf numFmtId="0" fontId="28" fillId="12" borderId="6" xfId="0" applyFont="1" applyFill="1" applyBorder="1" applyAlignment="1">
      <alignment horizontal="left" vertical="center" wrapText="1"/>
    </xf>
    <xf numFmtId="0" fontId="28" fillId="12" borderId="0" xfId="0" applyFont="1" applyFill="1" applyAlignment="1">
      <alignment horizontal="left" vertical="center" wrapText="1"/>
    </xf>
    <xf numFmtId="0" fontId="28" fillId="12" borderId="51" xfId="0" applyFont="1" applyFill="1" applyBorder="1" applyAlignment="1">
      <alignment horizontal="left" vertical="center" wrapText="1"/>
    </xf>
    <xf numFmtId="0" fontId="28" fillId="12" borderId="7" xfId="0" applyFont="1" applyFill="1" applyBorder="1" applyAlignment="1">
      <alignment horizontal="left" vertical="center" wrapText="1"/>
    </xf>
    <xf numFmtId="0" fontId="28" fillId="12" borderId="9" xfId="0" applyFont="1" applyFill="1" applyBorder="1" applyAlignment="1">
      <alignment horizontal="left" vertical="center" wrapText="1"/>
    </xf>
    <xf numFmtId="0" fontId="28" fillId="12" borderId="53" xfId="0" applyFont="1" applyFill="1" applyBorder="1" applyAlignment="1">
      <alignment horizontal="left" vertical="center" wrapText="1"/>
    </xf>
    <xf numFmtId="0" fontId="26" fillId="5" borderId="28" xfId="0" applyFont="1" applyFill="1" applyBorder="1" applyAlignment="1">
      <alignment horizontal="center" vertical="center" wrapText="1"/>
    </xf>
    <xf numFmtId="0" fontId="26" fillId="5" borderId="44" xfId="0" applyFont="1" applyFill="1" applyBorder="1" applyAlignment="1">
      <alignment horizontal="center" vertical="center" wrapText="1"/>
    </xf>
    <xf numFmtId="0" fontId="26" fillId="5" borderId="20" xfId="0" applyFont="1" applyFill="1" applyBorder="1" applyAlignment="1">
      <alignment horizontal="center" vertical="center" wrapText="1"/>
    </xf>
    <xf numFmtId="0" fontId="26" fillId="5" borderId="2" xfId="0" applyFont="1" applyFill="1" applyBorder="1" applyAlignment="1">
      <alignment horizontal="center" vertical="center" wrapText="1"/>
    </xf>
    <xf numFmtId="0" fontId="26" fillId="5" borderId="22" xfId="0" applyFont="1" applyFill="1" applyBorder="1" applyAlignment="1">
      <alignment horizontal="center" vertical="center" wrapText="1"/>
    </xf>
    <xf numFmtId="0" fontId="26" fillId="5" borderId="25" xfId="0" applyFont="1" applyFill="1" applyBorder="1" applyAlignment="1">
      <alignment horizontal="center" vertical="center" wrapText="1"/>
    </xf>
    <xf numFmtId="0" fontId="13" fillId="0" borderId="0" xfId="0" applyFont="1" applyAlignment="1">
      <alignment horizontal="center" vertical="center" wrapText="1"/>
    </xf>
    <xf numFmtId="0" fontId="19" fillId="0" borderId="45"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43"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0" xfId="0" applyFont="1" applyAlignment="1">
      <alignment horizontal="center" vertical="center" wrapText="1"/>
    </xf>
    <xf numFmtId="0" fontId="19" fillId="0" borderId="21" xfId="0" applyFont="1" applyBorder="1" applyAlignment="1">
      <alignment horizontal="center" vertical="center" wrapText="1"/>
    </xf>
    <xf numFmtId="0" fontId="19" fillId="0" borderId="46"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6" fillId="5" borderId="10" xfId="0" applyFont="1" applyFill="1" applyBorder="1" applyAlignment="1" applyProtection="1">
      <alignment horizontal="center" vertical="center" wrapText="1"/>
      <protection hidden="1"/>
    </xf>
    <xf numFmtId="0" fontId="6" fillId="5" borderId="35" xfId="0" applyFont="1" applyFill="1" applyBorder="1" applyAlignment="1" applyProtection="1">
      <alignment horizontal="center" vertical="center"/>
      <protection hidden="1"/>
    </xf>
    <xf numFmtId="0" fontId="6" fillId="5" borderId="9" xfId="0" applyFont="1" applyFill="1" applyBorder="1" applyAlignment="1" applyProtection="1">
      <alignment horizontal="center" vertical="center"/>
      <protection hidden="1"/>
    </xf>
    <xf numFmtId="0" fontId="6" fillId="5" borderId="36" xfId="0" applyFont="1" applyFill="1" applyBorder="1" applyAlignment="1" applyProtection="1">
      <alignment horizontal="center" vertical="center"/>
      <protection hidden="1"/>
    </xf>
    <xf numFmtId="0" fontId="6" fillId="5" borderId="35" xfId="0" applyFont="1" applyFill="1" applyBorder="1" applyAlignment="1" applyProtection="1">
      <alignment horizontal="center" vertical="center" wrapText="1"/>
      <protection hidden="1"/>
    </xf>
    <xf numFmtId="0" fontId="6" fillId="5" borderId="9" xfId="0" applyFont="1" applyFill="1" applyBorder="1" applyAlignment="1" applyProtection="1">
      <alignment horizontal="center" vertical="center" wrapText="1"/>
      <protection hidden="1"/>
    </xf>
    <xf numFmtId="0" fontId="6" fillId="5" borderId="36" xfId="0" applyFont="1" applyFill="1" applyBorder="1" applyAlignment="1" applyProtection="1">
      <alignment horizontal="center" vertical="center" wrapText="1"/>
      <protection hidden="1"/>
    </xf>
    <xf numFmtId="0" fontId="6" fillId="5" borderId="5" xfId="0" applyFont="1" applyFill="1" applyBorder="1" applyAlignment="1" applyProtection="1">
      <alignment horizontal="center" vertical="center" wrapText="1"/>
      <protection hidden="1"/>
    </xf>
    <xf numFmtId="0" fontId="6" fillId="5" borderId="3" xfId="0" applyFont="1" applyFill="1" applyBorder="1" applyAlignment="1" applyProtection="1">
      <alignment horizontal="center" vertical="center" wrapText="1"/>
      <protection hidden="1"/>
    </xf>
    <xf numFmtId="0" fontId="6" fillId="5" borderId="4" xfId="0" applyFont="1" applyFill="1" applyBorder="1" applyAlignment="1" applyProtection="1">
      <alignment horizontal="center" vertical="center" wrapText="1"/>
      <protection hidden="1"/>
    </xf>
    <xf numFmtId="0" fontId="6" fillId="5" borderId="42" xfId="0" applyFont="1" applyFill="1" applyBorder="1" applyAlignment="1" applyProtection="1">
      <alignment horizontal="center" vertical="center" wrapText="1"/>
      <protection hidden="1"/>
    </xf>
    <xf numFmtId="0" fontId="6" fillId="5" borderId="16" xfId="0" applyFont="1" applyFill="1" applyBorder="1" applyAlignment="1" applyProtection="1">
      <alignment horizontal="center" vertical="center" wrapText="1"/>
      <protection hidden="1"/>
    </xf>
    <xf numFmtId="0" fontId="6" fillId="5" borderId="17" xfId="0" applyFont="1" applyFill="1" applyBorder="1" applyAlignment="1" applyProtection="1">
      <alignment horizontal="center" vertical="center" wrapText="1"/>
      <protection hidden="1"/>
    </xf>
    <xf numFmtId="0" fontId="22" fillId="18" borderId="41" xfId="0" applyFont="1" applyFill="1" applyBorder="1" applyAlignment="1">
      <alignment horizontal="center" vertical="center"/>
    </xf>
    <xf numFmtId="0" fontId="22" fillId="18" borderId="21" xfId="0" applyFont="1" applyFill="1" applyBorder="1" applyAlignment="1">
      <alignment horizontal="center" vertical="center"/>
    </xf>
    <xf numFmtId="0" fontId="2" fillId="0" borderId="9" xfId="0" applyFont="1" applyBorder="1" applyAlignment="1">
      <alignment horizontal="center" vertical="center"/>
    </xf>
    <xf numFmtId="0" fontId="1" fillId="8" borderId="30" xfId="0" applyFont="1" applyFill="1" applyBorder="1" applyAlignment="1">
      <alignment horizontal="center" vertical="center" wrapText="1"/>
    </xf>
    <xf numFmtId="0" fontId="1" fillId="8" borderId="30" xfId="0" applyFont="1" applyFill="1" applyBorder="1" applyAlignment="1">
      <alignment horizontal="center" vertical="center"/>
    </xf>
    <xf numFmtId="0" fontId="24" fillId="8" borderId="3" xfId="0" applyFont="1" applyFill="1" applyBorder="1" applyAlignment="1">
      <alignment horizontal="center" vertical="center" wrapText="1"/>
    </xf>
    <xf numFmtId="0" fontId="24" fillId="8" borderId="5" xfId="0" applyFont="1" applyFill="1" applyBorder="1" applyAlignment="1">
      <alignment horizontal="center" vertical="center" wrapText="1"/>
    </xf>
    <xf numFmtId="0" fontId="24" fillId="8" borderId="4" xfId="0" applyFont="1" applyFill="1" applyBorder="1" applyAlignment="1">
      <alignment horizontal="center" vertical="center" wrapText="1"/>
    </xf>
    <xf numFmtId="0" fontId="22" fillId="14" borderId="21" xfId="0" applyFont="1" applyFill="1" applyBorder="1" applyAlignment="1">
      <alignment horizontal="center" vertical="center" wrapText="1"/>
    </xf>
    <xf numFmtId="0" fontId="22" fillId="14" borderId="37" xfId="0" applyFont="1" applyFill="1" applyBorder="1" applyAlignment="1">
      <alignment horizontal="center" vertical="center" wrapText="1"/>
    </xf>
    <xf numFmtId="0" fontId="22" fillId="16" borderId="38" xfId="0" applyFont="1" applyFill="1" applyBorder="1" applyAlignment="1">
      <alignment horizontal="center" vertical="center" wrapText="1"/>
    </xf>
    <xf numFmtId="0" fontId="22" fillId="16" borderId="40" xfId="0" applyFont="1" applyFill="1" applyBorder="1" applyAlignment="1">
      <alignment horizontal="center" vertical="center" wrapText="1"/>
    </xf>
    <xf numFmtId="0" fontId="23" fillId="17" borderId="41" xfId="0" applyFont="1" applyFill="1" applyBorder="1" applyAlignment="1">
      <alignment horizontal="center" vertical="center" wrapText="1"/>
    </xf>
    <xf numFmtId="0" fontId="23" fillId="17" borderId="21" xfId="0" applyFont="1" applyFill="1" applyBorder="1" applyAlignment="1">
      <alignment horizontal="center" vertical="center" wrapText="1"/>
    </xf>
    <xf numFmtId="0" fontId="23" fillId="17" borderId="37" xfId="0" applyFont="1" applyFill="1" applyBorder="1" applyAlignment="1">
      <alignment horizontal="center" vertical="center" wrapText="1"/>
    </xf>
    <xf numFmtId="0" fontId="22" fillId="15" borderId="38" xfId="0" applyFont="1" applyFill="1" applyBorder="1" applyAlignment="1">
      <alignment horizontal="center" vertical="center" wrapText="1"/>
    </xf>
    <xf numFmtId="0" fontId="22" fillId="15" borderId="40" xfId="0" applyFont="1" applyFill="1" applyBorder="1" applyAlignment="1">
      <alignment horizontal="center" vertical="center" wrapText="1"/>
    </xf>
    <xf numFmtId="0" fontId="22" fillId="15" borderId="39" xfId="0" applyFont="1" applyFill="1" applyBorder="1" applyAlignment="1">
      <alignment horizontal="center" vertical="center" wrapText="1"/>
    </xf>
    <xf numFmtId="0" fontId="53" fillId="0" borderId="89" xfId="0" applyFont="1" applyBorder="1"/>
    <xf numFmtId="0" fontId="54" fillId="0" borderId="90" xfId="0" applyFont="1" applyBorder="1"/>
    <xf numFmtId="0" fontId="55" fillId="0" borderId="90" xfId="0" applyFont="1" applyBorder="1"/>
    <xf numFmtId="0" fontId="56" fillId="0" borderId="90" xfId="0" applyFont="1" applyBorder="1" applyAlignment="1">
      <alignment vertical="center"/>
    </xf>
    <xf numFmtId="0" fontId="56" fillId="0" borderId="90" xfId="0" applyFont="1" applyBorder="1"/>
    <xf numFmtId="0" fontId="56" fillId="0" borderId="91" xfId="0" applyFont="1" applyBorder="1" applyAlignment="1">
      <alignment horizontal="center"/>
    </xf>
    <xf numFmtId="0" fontId="56" fillId="0" borderId="0" xfId="0" applyFont="1"/>
    <xf numFmtId="0" fontId="55" fillId="0" borderId="0" xfId="0" applyFont="1" applyAlignment="1">
      <alignment horizontal="left"/>
    </xf>
    <xf numFmtId="0" fontId="57" fillId="0" borderId="92" xfId="0" applyFont="1" applyBorder="1"/>
    <xf numFmtId="0" fontId="54" fillId="0" borderId="0" xfId="0" applyFont="1"/>
    <xf numFmtId="0" fontId="55" fillId="0" borderId="0" xfId="0" applyFont="1"/>
    <xf numFmtId="0" fontId="56" fillId="0" borderId="0" xfId="0" applyFont="1" applyAlignment="1">
      <alignment vertical="center"/>
    </xf>
    <xf numFmtId="0" fontId="56" fillId="0" borderId="93" xfId="0" applyFont="1" applyBorder="1" applyAlignment="1">
      <alignment horizontal="center"/>
    </xf>
    <xf numFmtId="0" fontId="58" fillId="0" borderId="0" xfId="0" applyFont="1"/>
    <xf numFmtId="0" fontId="54" fillId="0" borderId="0" xfId="0" applyFont="1" applyAlignment="1">
      <alignment vertical="center"/>
    </xf>
    <xf numFmtId="0" fontId="54" fillId="0" borderId="0" xfId="0" applyFont="1" applyAlignment="1">
      <alignment horizontal="left"/>
    </xf>
    <xf numFmtId="0" fontId="58" fillId="0" borderId="126" xfId="0" applyFont="1" applyBorder="1" applyAlignment="1">
      <alignment horizontal="left" vertical="center"/>
    </xf>
    <xf numFmtId="0" fontId="56" fillId="24" borderId="126" xfId="0" applyFont="1" applyFill="1" applyBorder="1" applyAlignment="1">
      <alignment horizontal="left" vertical="center"/>
    </xf>
    <xf numFmtId="0" fontId="56" fillId="0" borderId="0" xfId="0" applyFont="1" applyAlignment="1">
      <alignment horizontal="center"/>
    </xf>
    <xf numFmtId="0" fontId="56" fillId="20" borderId="126" xfId="0" applyFont="1" applyFill="1" applyBorder="1" applyAlignment="1">
      <alignment horizontal="left" vertical="center"/>
    </xf>
    <xf numFmtId="0" fontId="56" fillId="0" borderId="92" xfId="0" applyFont="1" applyBorder="1"/>
    <xf numFmtId="0" fontId="56" fillId="0" borderId="93" xfId="0" applyFont="1" applyBorder="1"/>
    <xf numFmtId="0" fontId="55" fillId="0" borderId="94" xfId="0" applyFont="1" applyBorder="1" applyAlignment="1">
      <alignment horizontal="center" vertical="center" textRotation="90" wrapText="1"/>
    </xf>
    <xf numFmtId="0" fontId="56" fillId="0" borderId="3" xfId="0" applyFont="1" applyBorder="1" applyAlignment="1">
      <alignment horizontal="right" vertical="center" indent="2"/>
    </xf>
    <xf numFmtId="0" fontId="56" fillId="24" borderId="1" xfId="0" applyFont="1" applyFill="1" applyBorder="1" applyAlignment="1" applyProtection="1">
      <alignment horizontal="left" vertical="center" wrapText="1"/>
      <protection locked="0"/>
    </xf>
    <xf numFmtId="0" fontId="56" fillId="24" borderId="95" xfId="0" applyFont="1" applyFill="1" applyBorder="1" applyAlignment="1" applyProtection="1">
      <alignment horizontal="left" vertical="center" wrapText="1"/>
      <protection locked="0"/>
    </xf>
    <xf numFmtId="0" fontId="59" fillId="0" borderId="12" xfId="0" applyFont="1" applyBorder="1" applyAlignment="1">
      <alignment horizontal="center" vertical="center" wrapText="1"/>
    </xf>
    <xf numFmtId="0" fontId="59" fillId="0" borderId="12" xfId="0" applyFont="1" applyBorder="1" applyAlignment="1">
      <alignment horizontal="center" vertical="center"/>
    </xf>
    <xf numFmtId="0" fontId="55" fillId="0" borderId="96" xfId="0" applyFont="1" applyBorder="1" applyAlignment="1">
      <alignment horizontal="center" vertical="center" textRotation="90" wrapText="1"/>
    </xf>
    <xf numFmtId="0" fontId="56" fillId="0" borderId="12" xfId="0" applyFont="1" applyBorder="1" applyAlignment="1">
      <alignment horizontal="center" vertical="center"/>
    </xf>
    <xf numFmtId="0" fontId="61" fillId="0" borderId="12" xfId="5" applyFont="1" applyBorder="1" applyAlignment="1">
      <alignment horizontal="center" vertical="top"/>
    </xf>
    <xf numFmtId="0" fontId="61" fillId="0" borderId="12" xfId="0" applyFont="1" applyBorder="1" applyAlignment="1">
      <alignment horizontal="center" vertical="center"/>
    </xf>
    <xf numFmtId="166" fontId="56" fillId="24" borderId="1" xfId="0" applyNumberFormat="1" applyFont="1" applyFill="1" applyBorder="1" applyAlignment="1" applyProtection="1">
      <alignment horizontal="left" vertical="center" wrapText="1"/>
      <protection locked="0"/>
    </xf>
    <xf numFmtId="166" fontId="56" fillId="24" borderId="95" xfId="0" applyNumberFormat="1" applyFont="1" applyFill="1" applyBorder="1" applyAlignment="1" applyProtection="1">
      <alignment horizontal="left" vertical="center" wrapText="1"/>
      <protection locked="0"/>
    </xf>
    <xf numFmtId="0" fontId="56" fillId="24" borderId="31" xfId="0" applyFont="1" applyFill="1" applyBorder="1" applyAlignment="1" applyProtection="1">
      <alignment horizontal="center" vertical="center" wrapText="1"/>
      <protection locked="0"/>
    </xf>
    <xf numFmtId="0" fontId="56" fillId="24" borderId="1" xfId="0" applyFont="1" applyFill="1" applyBorder="1" applyAlignment="1" applyProtection="1">
      <alignment horizontal="center" vertical="center" wrapText="1"/>
      <protection locked="0"/>
    </xf>
    <xf numFmtId="0" fontId="56" fillId="0" borderId="33" xfId="0" applyFont="1" applyBorder="1" applyAlignment="1">
      <alignment horizontal="right" vertical="center" indent="2"/>
    </xf>
    <xf numFmtId="1" fontId="56" fillId="24" borderId="30" xfId="0" applyNumberFormat="1" applyFont="1" applyFill="1" applyBorder="1" applyAlignment="1" applyProtection="1">
      <alignment horizontal="center"/>
      <protection locked="0"/>
    </xf>
    <xf numFmtId="0" fontId="55" fillId="0" borderId="97" xfId="0" applyFont="1" applyBorder="1" applyAlignment="1">
      <alignment horizontal="center" vertical="center" textRotation="90" wrapText="1"/>
    </xf>
    <xf numFmtId="0" fontId="62" fillId="0" borderId="3" xfId="1" applyFont="1" applyFill="1" applyBorder="1" applyAlignment="1" applyProtection="1">
      <alignment horizontal="center" vertical="center" wrapText="1"/>
      <protection locked="0"/>
    </xf>
    <xf numFmtId="0" fontId="62" fillId="0" borderId="5" xfId="1" applyFont="1" applyFill="1" applyBorder="1" applyAlignment="1" applyProtection="1">
      <alignment horizontal="center" vertical="center" wrapText="1"/>
      <protection locked="0"/>
    </xf>
    <xf numFmtId="0" fontId="62" fillId="0" borderId="98" xfId="1" applyFont="1" applyFill="1" applyBorder="1" applyAlignment="1" applyProtection="1">
      <alignment horizontal="center" vertical="center" wrapText="1"/>
      <protection locked="0"/>
    </xf>
    <xf numFmtId="0" fontId="55" fillId="0" borderId="92" xfId="0" applyFont="1" applyBorder="1" applyAlignment="1">
      <alignment horizontal="center" vertical="center" textRotation="90" wrapText="1"/>
    </xf>
    <xf numFmtId="0" fontId="56" fillId="0" borderId="31" xfId="0" applyFont="1" applyBorder="1" applyAlignment="1">
      <alignment horizontal="right" vertical="center" indent="2"/>
    </xf>
    <xf numFmtId="0" fontId="56" fillId="24" borderId="31" xfId="0" applyFont="1" applyFill="1" applyBorder="1" applyAlignment="1" applyProtection="1">
      <alignment horizontal="left" vertical="center" wrapText="1"/>
      <protection locked="0"/>
    </xf>
    <xf numFmtId="0" fontId="56" fillId="0" borderId="1" xfId="0" applyFont="1" applyBorder="1" applyAlignment="1">
      <alignment horizontal="right" vertical="center" indent="2"/>
    </xf>
    <xf numFmtId="0" fontId="56" fillId="24" borderId="30" xfId="0" applyFont="1" applyFill="1" applyBorder="1" applyAlignment="1" applyProtection="1">
      <alignment horizontal="left" vertical="center" wrapText="1"/>
      <protection locked="0"/>
    </xf>
    <xf numFmtId="0" fontId="55" fillId="0" borderId="99" xfId="0" applyFont="1" applyBorder="1" applyAlignment="1">
      <alignment horizontal="center" vertical="center" textRotation="90" wrapText="1"/>
    </xf>
    <xf numFmtId="0" fontId="57" fillId="0" borderId="0" xfId="0" applyFont="1" applyAlignment="1">
      <alignment vertical="center"/>
    </xf>
    <xf numFmtId="0" fontId="63" fillId="0" borderId="1" xfId="0" applyFont="1" applyBorder="1" applyAlignment="1">
      <alignment horizontal="center" vertical="center"/>
    </xf>
    <xf numFmtId="0" fontId="63" fillId="0" borderId="3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95" xfId="0" applyFont="1" applyBorder="1" applyAlignment="1">
      <alignment horizontal="center" vertical="center" wrapText="1"/>
    </xf>
    <xf numFmtId="0" fontId="63" fillId="0" borderId="0" xfId="0" applyFont="1" applyAlignment="1">
      <alignment horizontal="center" vertical="center" wrapText="1"/>
    </xf>
    <xf numFmtId="0" fontId="56" fillId="0" borderId="0" xfId="0" applyFont="1" applyAlignment="1">
      <alignment horizontal="center" vertical="center" wrapText="1"/>
    </xf>
    <xf numFmtId="0" fontId="56" fillId="0" borderId="30" xfId="0" applyFont="1" applyBorder="1" applyAlignment="1">
      <alignment vertical="center"/>
    </xf>
    <xf numFmtId="0" fontId="56" fillId="24" borderId="4" xfId="0" applyFont="1" applyFill="1" applyBorder="1" applyAlignment="1" applyProtection="1">
      <alignment horizontal="center" vertical="center" wrapText="1"/>
      <protection locked="0"/>
    </xf>
    <xf numFmtId="0" fontId="56" fillId="20" borderId="1" xfId="0" applyFont="1" applyFill="1" applyBorder="1" applyAlignment="1">
      <alignment horizontal="center" vertical="center"/>
    </xf>
    <xf numFmtId="0" fontId="56" fillId="0" borderId="100" xfId="0" applyFont="1" applyBorder="1"/>
    <xf numFmtId="0" fontId="56" fillId="0" borderId="0" xfId="0" applyFont="1" applyAlignment="1">
      <alignment horizontal="center" vertical="center"/>
    </xf>
    <xf numFmtId="0" fontId="56" fillId="0" borderId="31" xfId="0" applyFont="1" applyBorder="1" applyAlignment="1">
      <alignment vertical="center"/>
    </xf>
    <xf numFmtId="0" fontId="56" fillId="0" borderId="7" xfId="0" applyFont="1" applyBorder="1" applyAlignment="1">
      <alignment horizontal="right" vertical="center" indent="2"/>
    </xf>
    <xf numFmtId="167" fontId="56" fillId="24" borderId="31" xfId="0" applyNumberFormat="1" applyFont="1" applyFill="1" applyBorder="1" applyAlignment="1" applyProtection="1">
      <alignment horizontal="center"/>
      <protection locked="0"/>
    </xf>
    <xf numFmtId="0" fontId="56" fillId="20" borderId="1" xfId="0" applyFont="1" applyFill="1" applyBorder="1" applyAlignment="1">
      <alignment horizontal="center" vertical="center" wrapText="1"/>
    </xf>
    <xf numFmtId="0" fontId="56" fillId="20" borderId="95" xfId="0" applyFont="1" applyFill="1" applyBorder="1" applyAlignment="1">
      <alignment horizontal="center"/>
    </xf>
    <xf numFmtId="167" fontId="56" fillId="24" borderId="32" xfId="0" applyNumberFormat="1" applyFont="1" applyFill="1" applyBorder="1" applyAlignment="1" applyProtection="1">
      <alignment horizontal="center"/>
      <protection locked="0"/>
    </xf>
    <xf numFmtId="0" fontId="56" fillId="20" borderId="30" xfId="0" applyFont="1" applyFill="1" applyBorder="1" applyAlignment="1">
      <alignment horizontal="center" vertical="center"/>
    </xf>
    <xf numFmtId="0" fontId="55" fillId="0" borderId="114" xfId="0" applyFont="1" applyBorder="1" applyAlignment="1">
      <alignment horizontal="center" vertical="center" textRotation="90" wrapText="1"/>
    </xf>
    <xf numFmtId="0" fontId="56" fillId="24" borderId="110" xfId="0" applyFont="1" applyFill="1" applyBorder="1" applyAlignment="1" applyProtection="1">
      <alignment horizontal="left" vertical="center" wrapText="1"/>
      <protection locked="0"/>
    </xf>
    <xf numFmtId="0" fontId="65" fillId="20" borderId="111" xfId="0" applyFont="1" applyFill="1" applyBorder="1" applyAlignment="1">
      <alignment horizontal="center" vertical="center"/>
    </xf>
    <xf numFmtId="0" fontId="65" fillId="20" borderId="112" xfId="0" applyFont="1" applyFill="1" applyBorder="1" applyAlignment="1">
      <alignment horizontal="center" vertical="center"/>
    </xf>
    <xf numFmtId="0" fontId="65" fillId="20" borderId="113" xfId="0" applyFont="1" applyFill="1" applyBorder="1" applyAlignment="1">
      <alignment horizontal="center" vertical="center"/>
    </xf>
    <xf numFmtId="0" fontId="58" fillId="0" borderId="102" xfId="0" applyFont="1" applyBorder="1" applyAlignment="1">
      <alignment horizontal="center" vertical="center" wrapText="1" readingOrder="1"/>
    </xf>
    <xf numFmtId="0" fontId="58" fillId="0" borderId="1" xfId="0" applyFont="1" applyBorder="1" applyAlignment="1">
      <alignment vertical="center" wrapText="1" readingOrder="1"/>
    </xf>
    <xf numFmtId="0" fontId="58" fillId="0" borderId="1" xfId="0" applyFont="1" applyBorder="1" applyAlignment="1">
      <alignment horizontal="center" vertical="center" wrapText="1" readingOrder="1"/>
    </xf>
    <xf numFmtId="0" fontId="58" fillId="0" borderId="0" xfId="0" applyFont="1" applyAlignment="1">
      <alignment horizontal="center" vertical="center" wrapText="1" readingOrder="1"/>
    </xf>
    <xf numFmtId="0" fontId="58" fillId="0" borderId="93" xfId="0" applyFont="1" applyBorder="1" applyAlignment="1">
      <alignment horizontal="center" vertical="center" wrapText="1" readingOrder="1"/>
    </xf>
    <xf numFmtId="0" fontId="58" fillId="0" borderId="0" xfId="0" applyFont="1" applyAlignment="1">
      <alignment horizontal="center" vertical="center" wrapText="1" readingOrder="1"/>
    </xf>
    <xf numFmtId="0" fontId="66" fillId="0" borderId="102" xfId="0" applyFont="1" applyBorder="1" applyAlignment="1">
      <alignment horizontal="center" vertical="center" wrapText="1"/>
    </xf>
    <xf numFmtId="0" fontId="61" fillId="0" borderId="1" xfId="0" applyFont="1" applyBorder="1" applyAlignment="1">
      <alignment horizontal="left" vertical="center" wrapText="1" readingOrder="1"/>
    </xf>
    <xf numFmtId="0" fontId="55" fillId="20" borderId="1" xfId="0" applyFont="1" applyFill="1" applyBorder="1" applyAlignment="1">
      <alignment horizontal="center" vertical="center" wrapText="1"/>
    </xf>
    <xf numFmtId="0" fontId="56" fillId="0" borderId="0" xfId="0" applyFont="1" applyAlignment="1">
      <alignment horizontal="center" vertical="center" wrapText="1"/>
    </xf>
    <xf numFmtId="0" fontId="56" fillId="0" borderId="93" xfId="0" applyFont="1" applyBorder="1" applyAlignment="1">
      <alignment horizontal="center" vertical="center" wrapText="1"/>
    </xf>
    <xf numFmtId="0" fontId="56" fillId="0" borderId="0" xfId="0" applyFont="1" applyAlignment="1">
      <alignment vertical="center" wrapText="1"/>
    </xf>
    <xf numFmtId="164" fontId="56" fillId="0" borderId="0" xfId="0" applyNumberFormat="1" applyFont="1"/>
    <xf numFmtId="0" fontId="55" fillId="20" borderId="30" xfId="0" applyFont="1" applyFill="1" applyBorder="1" applyAlignment="1">
      <alignment horizontal="center" vertical="center" wrapText="1"/>
    </xf>
    <xf numFmtId="0" fontId="56" fillId="0" borderId="1" xfId="0" applyFont="1" applyBorder="1" applyAlignment="1">
      <alignment horizontal="right" vertical="center" wrapText="1" indent="1" readingOrder="1"/>
    </xf>
    <xf numFmtId="0" fontId="54" fillId="20" borderId="1" xfId="0" applyFont="1" applyFill="1" applyBorder="1" applyAlignment="1">
      <alignment horizontal="center" vertical="center" wrapText="1" readingOrder="1"/>
    </xf>
    <xf numFmtId="0" fontId="54" fillId="20" borderId="95" xfId="0" applyFont="1" applyFill="1" applyBorder="1" applyAlignment="1">
      <alignment horizontal="center" vertical="center" wrapText="1" readingOrder="1"/>
    </xf>
    <xf numFmtId="0" fontId="54" fillId="0" borderId="0" xfId="0" applyFont="1" applyAlignment="1">
      <alignment vertical="center" wrapText="1"/>
    </xf>
    <xf numFmtId="0" fontId="54" fillId="0" borderId="0" xfId="0" applyFont="1" applyAlignment="1">
      <alignment horizontal="center"/>
    </xf>
    <xf numFmtId="0" fontId="55" fillId="24" borderId="1" xfId="0" applyFont="1" applyFill="1" applyBorder="1" applyAlignment="1" applyProtection="1">
      <alignment horizontal="center" vertical="center" wrapText="1" readingOrder="1"/>
      <protection locked="0"/>
    </xf>
    <xf numFmtId="0" fontId="61" fillId="24" borderId="1" xfId="0" applyFont="1" applyFill="1" applyBorder="1" applyAlignment="1" applyProtection="1">
      <alignment horizontal="left" vertical="center" wrapText="1"/>
      <protection locked="0"/>
    </xf>
    <xf numFmtId="0" fontId="61" fillId="24" borderId="95" xfId="0" applyFont="1" applyFill="1" applyBorder="1" applyAlignment="1" applyProtection="1">
      <alignment horizontal="left" vertical="center" wrapText="1"/>
      <protection locked="0"/>
    </xf>
    <xf numFmtId="0" fontId="55" fillId="20" borderId="1" xfId="0" applyFont="1" applyFill="1" applyBorder="1" applyAlignment="1">
      <alignment horizontal="center" vertical="center" wrapText="1" readingOrder="1"/>
    </xf>
    <xf numFmtId="0" fontId="66" fillId="0" borderId="102" xfId="0" applyFont="1" applyBorder="1" applyAlignment="1">
      <alignment horizontal="center" vertical="top" wrapText="1"/>
    </xf>
    <xf numFmtId="0" fontId="55" fillId="20" borderId="30" xfId="0" applyFont="1" applyFill="1" applyBorder="1" applyAlignment="1">
      <alignment horizontal="center" vertical="center" wrapText="1" readingOrder="1"/>
    </xf>
    <xf numFmtId="0" fontId="56" fillId="0" borderId="101" xfId="0" applyFont="1" applyBorder="1"/>
    <xf numFmtId="0" fontId="55" fillId="0" borderId="10" xfId="0" applyFont="1" applyBorder="1"/>
    <xf numFmtId="0" fontId="56" fillId="0" borderId="10" xfId="0" applyFont="1" applyBorder="1" applyAlignment="1">
      <alignment vertical="center"/>
    </xf>
    <xf numFmtId="0" fontId="56" fillId="0" borderId="10" xfId="0" applyFont="1" applyBorder="1"/>
    <xf numFmtId="0" fontId="56" fillId="0" borderId="107" xfId="0" applyFont="1" applyBorder="1"/>
    <xf numFmtId="0" fontId="68" fillId="0" borderId="101" xfId="0" applyFont="1" applyBorder="1" applyAlignment="1">
      <alignment horizontal="right" vertical="center" readingOrder="1"/>
    </xf>
    <xf numFmtId="0" fontId="68" fillId="0" borderId="5" xfId="0" applyFont="1" applyBorder="1" applyAlignment="1">
      <alignment horizontal="right" vertical="center" readingOrder="1"/>
    </xf>
    <xf numFmtId="0" fontId="53" fillId="20" borderId="111" xfId="0" applyFont="1" applyFill="1" applyBorder="1" applyAlignment="1">
      <alignment horizontal="center" vertical="center" readingOrder="1"/>
    </xf>
    <xf numFmtId="0" fontId="53" fillId="20" borderId="112" xfId="0" applyFont="1" applyFill="1" applyBorder="1" applyAlignment="1">
      <alignment horizontal="center" vertical="center" readingOrder="1"/>
    </xf>
    <xf numFmtId="0" fontId="53" fillId="20" borderId="113" xfId="0" applyFont="1" applyFill="1" applyBorder="1" applyAlignment="1">
      <alignment horizontal="center" vertical="center" readingOrder="1"/>
    </xf>
    <xf numFmtId="0" fontId="68" fillId="0" borderId="0" xfId="0" applyFont="1"/>
    <xf numFmtId="0" fontId="56" fillId="0" borderId="0" xfId="0" applyFont="1" applyAlignment="1">
      <alignment vertical="center" readingOrder="1"/>
    </xf>
    <xf numFmtId="0" fontId="56" fillId="0" borderId="92" xfId="0" applyFont="1" applyBorder="1" applyAlignment="1">
      <alignment horizontal="left" vertical="center" readingOrder="1"/>
    </xf>
    <xf numFmtId="0" fontId="61" fillId="0" borderId="92" xfId="0" quotePrefix="1" applyFont="1" applyBorder="1" applyAlignment="1">
      <alignment horizontal="left" vertical="center" wrapText="1"/>
    </xf>
    <xf numFmtId="0" fontId="61" fillId="0" borderId="0" xfId="0" applyFont="1" applyAlignment="1">
      <alignment horizontal="left" vertical="center" wrapText="1"/>
    </xf>
    <xf numFmtId="0" fontId="56" fillId="0" borderId="0" xfId="0" applyFont="1" applyAlignment="1">
      <alignment vertical="top"/>
    </xf>
    <xf numFmtId="0" fontId="56" fillId="0" borderId="93" xfId="0" applyFont="1" applyBorder="1" applyAlignment="1">
      <alignment vertical="top"/>
    </xf>
    <xf numFmtId="0" fontId="56" fillId="0" borderId="0" xfId="0" applyFont="1" applyAlignment="1">
      <alignment horizontal="center" vertical="top"/>
    </xf>
    <xf numFmtId="0" fontId="69" fillId="0" borderId="92" xfId="0" applyFont="1" applyBorder="1" applyAlignment="1">
      <alignment horizontal="left" vertical="center" readingOrder="1"/>
    </xf>
    <xf numFmtId="0" fontId="61" fillId="0" borderId="0" xfId="0" applyFont="1"/>
    <xf numFmtId="0" fontId="61" fillId="0" borderId="92" xfId="0" applyFont="1" applyBorder="1" applyAlignment="1">
      <alignment horizontal="left" vertical="top" readingOrder="1"/>
    </xf>
    <xf numFmtId="0" fontId="61" fillId="0" borderId="0" xfId="0" applyFont="1" applyAlignment="1">
      <alignment vertical="top"/>
    </xf>
    <xf numFmtId="0" fontId="61" fillId="0" borderId="104" xfId="0" applyFont="1" applyBorder="1" applyAlignment="1">
      <alignment horizontal="left" vertical="center" readingOrder="1"/>
    </xf>
    <xf numFmtId="0" fontId="61" fillId="0" borderId="105" xfId="0" applyFont="1" applyBorder="1"/>
    <xf numFmtId="0" fontId="56" fillId="0" borderId="105" xfId="0" applyFont="1" applyBorder="1" applyAlignment="1">
      <alignment vertical="center"/>
    </xf>
    <xf numFmtId="0" fontId="56" fillId="0" borderId="105" xfId="0" applyFont="1" applyBorder="1"/>
    <xf numFmtId="0" fontId="56" fillId="0" borderId="106" xfId="0" applyFont="1" applyBorder="1"/>
    <xf numFmtId="0" fontId="56" fillId="0" borderId="0" xfId="0" applyFont="1" applyAlignment="1">
      <alignment wrapText="1"/>
    </xf>
    <xf numFmtId="0" fontId="71" fillId="25" borderId="0" xfId="0" applyFont="1" applyFill="1"/>
    <xf numFmtId="0" fontId="52" fillId="25" borderId="0" xfId="0" applyFont="1" applyFill="1" applyAlignment="1">
      <alignment vertical="center"/>
    </xf>
    <xf numFmtId="0" fontId="52" fillId="25" borderId="0" xfId="0" applyFont="1" applyFill="1"/>
    <xf numFmtId="0" fontId="52" fillId="25" borderId="93" xfId="0" applyFont="1" applyFill="1" applyBorder="1"/>
    <xf numFmtId="0" fontId="70" fillId="26" borderId="102" xfId="0" applyFont="1" applyFill="1" applyBorder="1" applyAlignment="1">
      <alignment horizontal="center" vertical="center" wrapText="1" readingOrder="1"/>
    </xf>
    <xf numFmtId="0" fontId="70" fillId="26" borderId="1" xfId="0" applyFont="1" applyFill="1" applyBorder="1" applyAlignment="1">
      <alignment vertical="center" wrapText="1" readingOrder="1"/>
    </xf>
    <xf numFmtId="0" fontId="51" fillId="26" borderId="1" xfId="0" applyFont="1" applyFill="1" applyBorder="1" applyAlignment="1">
      <alignment horizontal="center" vertical="center" wrapText="1" readingOrder="1"/>
    </xf>
    <xf numFmtId="0" fontId="51" fillId="26" borderId="1" xfId="0" applyFont="1" applyFill="1" applyBorder="1" applyAlignment="1">
      <alignment horizontal="center" vertical="center" wrapText="1" readingOrder="1"/>
    </xf>
    <xf numFmtId="0" fontId="51" fillId="26" borderId="95" xfId="0" applyFont="1" applyFill="1" applyBorder="1" applyAlignment="1">
      <alignment horizontal="center" vertical="center" wrapText="1" readingOrder="1"/>
    </xf>
    <xf numFmtId="0" fontId="70" fillId="27" borderId="102" xfId="0" applyFont="1" applyFill="1" applyBorder="1" applyAlignment="1">
      <alignment horizontal="center" vertical="center" wrapText="1" readingOrder="1"/>
    </xf>
    <xf numFmtId="0" fontId="72" fillId="27" borderId="1" xfId="0" applyFont="1" applyFill="1" applyBorder="1" applyAlignment="1">
      <alignment vertical="center" wrapText="1" readingOrder="1"/>
    </xf>
    <xf numFmtId="0" fontId="51" fillId="27" borderId="1" xfId="0" applyFont="1" applyFill="1" applyBorder="1" applyAlignment="1">
      <alignment horizontal="center" vertical="center" wrapText="1" readingOrder="1"/>
    </xf>
    <xf numFmtId="0" fontId="52" fillId="27" borderId="0" xfId="0" applyFont="1" applyFill="1" applyAlignment="1">
      <alignment horizontal="center" vertical="center" wrapText="1"/>
    </xf>
    <xf numFmtId="0" fontId="52" fillId="27" borderId="93" xfId="0" applyFont="1" applyFill="1" applyBorder="1" applyAlignment="1">
      <alignment horizontal="center" vertical="center" wrapText="1"/>
    </xf>
    <xf numFmtId="0" fontId="70" fillId="28" borderId="92" xfId="0" applyFont="1" applyFill="1" applyBorder="1"/>
    <xf numFmtId="0" fontId="70" fillId="28" borderId="0" xfId="0" applyFont="1" applyFill="1" applyAlignment="1">
      <alignment vertical="center"/>
    </xf>
    <xf numFmtId="0" fontId="71" fillId="28" borderId="0" xfId="0" applyFont="1" applyFill="1"/>
    <xf numFmtId="0" fontId="52" fillId="28" borderId="0" xfId="0" applyFont="1" applyFill="1" applyAlignment="1">
      <alignment vertical="center"/>
    </xf>
    <xf numFmtId="0" fontId="52" fillId="28" borderId="0" xfId="0" applyFont="1" applyFill="1"/>
    <xf numFmtId="0" fontId="52" fillId="28" borderId="93" xfId="0" applyFont="1" applyFill="1" applyBorder="1"/>
    <xf numFmtId="0" fontId="51" fillId="27" borderId="1" xfId="0" applyFont="1" applyFill="1" applyBorder="1" applyAlignment="1">
      <alignment horizontal="center" vertical="center" wrapText="1" readingOrder="1"/>
    </xf>
    <xf numFmtId="0" fontId="51" fillId="27" borderId="95" xfId="0" applyFont="1" applyFill="1" applyBorder="1" applyAlignment="1">
      <alignment horizontal="center" vertical="center" wrapText="1" readingOrder="1"/>
    </xf>
    <xf numFmtId="0" fontId="70" fillId="25" borderId="92" xfId="0" applyFont="1" applyFill="1" applyBorder="1" applyAlignment="1">
      <alignment horizontal="center" vertical="center"/>
    </xf>
    <xf numFmtId="0" fontId="70" fillId="25" borderId="0" xfId="0" applyFont="1" applyFill="1" applyAlignment="1">
      <alignment vertical="center"/>
    </xf>
    <xf numFmtId="0" fontId="56" fillId="0" borderId="1" xfId="0" applyFont="1" applyBorder="1" applyAlignment="1">
      <alignment horizontal="left" vertical="center" wrapText="1" readingOrder="1"/>
    </xf>
    <xf numFmtId="0" fontId="61" fillId="0" borderId="92" xfId="0" applyFont="1" applyBorder="1" applyAlignment="1">
      <alignment horizontal="left" vertical="center" indent="1" readingOrder="1"/>
    </xf>
    <xf numFmtId="0" fontId="53" fillId="0" borderId="0" xfId="0" applyFont="1"/>
    <xf numFmtId="0" fontId="56" fillId="0" borderId="102" xfId="0" applyFont="1" applyBorder="1" applyAlignment="1">
      <alignment horizontal="right" vertical="center" indent="1"/>
    </xf>
    <xf numFmtId="0" fontId="56" fillId="20" borderId="1" xfId="0" applyFont="1" applyFill="1" applyBorder="1" applyAlignment="1">
      <alignment horizontal="left" vertical="center" wrapText="1"/>
    </xf>
    <xf numFmtId="0" fontId="56" fillId="20" borderId="3" xfId="0" applyFont="1" applyFill="1" applyBorder="1" applyAlignment="1">
      <alignment horizontal="left" vertical="center" wrapText="1"/>
    </xf>
    <xf numFmtId="0" fontId="56" fillId="0" borderId="6" xfId="0" applyFont="1" applyBorder="1" applyAlignment="1">
      <alignment vertical="center"/>
    </xf>
    <xf numFmtId="0" fontId="56" fillId="20" borderId="1" xfId="0" applyFont="1" applyFill="1" applyBorder="1" applyAlignment="1">
      <alignment vertical="center"/>
    </xf>
    <xf numFmtId="0" fontId="56" fillId="20" borderId="30" xfId="0" applyFont="1" applyFill="1" applyBorder="1" applyAlignment="1">
      <alignment horizontal="left" vertical="center"/>
    </xf>
    <xf numFmtId="0" fontId="56" fillId="20" borderId="1" xfId="0" applyFont="1" applyFill="1" applyBorder="1" applyAlignment="1">
      <alignment horizontal="left" vertical="center"/>
    </xf>
    <xf numFmtId="0" fontId="56" fillId="20" borderId="3" xfId="0" applyFont="1" applyFill="1" applyBorder="1" applyAlignment="1">
      <alignment horizontal="left" vertical="center"/>
    </xf>
    <xf numFmtId="0" fontId="58" fillId="0" borderId="99" xfId="0" applyFont="1" applyBorder="1" applyAlignment="1">
      <alignment horizontal="center" vertical="center"/>
    </xf>
    <xf numFmtId="0" fontId="58" fillId="0" borderId="9" xfId="0" applyFont="1" applyBorder="1" applyAlignment="1">
      <alignment horizontal="center" vertical="center"/>
    </xf>
    <xf numFmtId="0" fontId="63" fillId="0" borderId="102" xfId="0" applyFont="1" applyBorder="1" applyAlignment="1">
      <alignment horizontal="center" vertical="center"/>
    </xf>
    <xf numFmtId="168" fontId="56" fillId="20" borderId="1" xfId="3" applyNumberFormat="1" applyFont="1" applyFill="1" applyBorder="1" applyAlignment="1" applyProtection="1">
      <alignment horizontal="center" vertical="center"/>
    </xf>
    <xf numFmtId="3" fontId="56" fillId="24" borderId="1" xfId="2" applyNumberFormat="1" applyFont="1" applyFill="1" applyBorder="1" applyAlignment="1" applyProtection="1">
      <alignment horizontal="center" vertical="center"/>
      <protection locked="0"/>
    </xf>
    <xf numFmtId="1" fontId="56" fillId="24" borderId="1" xfId="2" applyNumberFormat="1" applyFont="1" applyFill="1" applyBorder="1" applyAlignment="1" applyProtection="1">
      <alignment horizontal="center" vertical="center"/>
      <protection locked="0"/>
    </xf>
    <xf numFmtId="3" fontId="56" fillId="20" borderId="1" xfId="2" applyNumberFormat="1" applyFont="1" applyFill="1" applyBorder="1" applyAlignment="1" applyProtection="1">
      <alignment horizontal="center" vertical="center"/>
    </xf>
    <xf numFmtId="168" fontId="56" fillId="24" borderId="1" xfId="3" applyNumberFormat="1" applyFont="1" applyFill="1" applyBorder="1" applyAlignment="1" applyProtection="1">
      <alignment horizontal="center" vertical="center"/>
      <protection locked="0"/>
    </xf>
    <xf numFmtId="1" fontId="56" fillId="20" borderId="1" xfId="2" applyNumberFormat="1" applyFont="1" applyFill="1" applyBorder="1" applyAlignment="1" applyProtection="1">
      <alignment horizontal="center" vertical="center"/>
    </xf>
    <xf numFmtId="0" fontId="56" fillId="0" borderId="115" xfId="0" applyFont="1" applyBorder="1" applyAlignment="1">
      <alignment horizontal="right" vertical="center" indent="1"/>
    </xf>
    <xf numFmtId="168" fontId="56" fillId="20" borderId="88" xfId="3" applyNumberFormat="1" applyFont="1" applyFill="1" applyBorder="1" applyAlignment="1" applyProtection="1">
      <alignment horizontal="center" vertical="center"/>
    </xf>
    <xf numFmtId="3" fontId="56" fillId="20" borderId="88" xfId="2" applyNumberFormat="1" applyFont="1" applyFill="1" applyBorder="1" applyAlignment="1" applyProtection="1">
      <alignment horizontal="center" vertical="center"/>
    </xf>
    <xf numFmtId="1" fontId="56" fillId="20" borderId="88" xfId="2" applyNumberFormat="1" applyFont="1" applyFill="1" applyBorder="1" applyAlignment="1" applyProtection="1">
      <alignment horizontal="center" vertical="center"/>
    </xf>
    <xf numFmtId="0" fontId="63" fillId="0" borderId="109" xfId="0" applyFont="1" applyBorder="1" applyAlignment="1">
      <alignment horizontal="center" vertical="center"/>
    </xf>
    <xf numFmtId="9" fontId="56" fillId="20" borderId="31" xfId="3" applyFont="1" applyFill="1" applyBorder="1" applyAlignment="1" applyProtection="1">
      <alignment horizontal="center" vertical="center"/>
    </xf>
    <xf numFmtId="3" fontId="56" fillId="24" borderId="31" xfId="2" applyNumberFormat="1" applyFont="1" applyFill="1" applyBorder="1" applyAlignment="1" applyProtection="1">
      <alignment horizontal="center" vertical="center"/>
      <protection locked="0"/>
    </xf>
    <xf numFmtId="3" fontId="56" fillId="20" borderId="31" xfId="3" applyNumberFormat="1" applyFont="1" applyFill="1" applyBorder="1" applyAlignment="1" applyProtection="1">
      <alignment horizontal="center" vertical="center"/>
    </xf>
    <xf numFmtId="0" fontId="58" fillId="0" borderId="3" xfId="0" applyFont="1" applyBorder="1" applyAlignment="1">
      <alignment horizontal="center" vertical="center"/>
    </xf>
    <xf numFmtId="0" fontId="58" fillId="0" borderId="5" xfId="0" applyFont="1" applyBorder="1" applyAlignment="1">
      <alignment horizontal="center" vertical="center"/>
    </xf>
    <xf numFmtId="0" fontId="58" fillId="0" borderId="4" xfId="0" applyFont="1" applyBorder="1" applyAlignment="1">
      <alignment horizontal="center" vertical="center"/>
    </xf>
    <xf numFmtId="0" fontId="63" fillId="0" borderId="3" xfId="0" applyFont="1" applyBorder="1" applyAlignment="1">
      <alignment horizontal="center" vertical="center"/>
    </xf>
    <xf numFmtId="0" fontId="63" fillId="0" borderId="4" xfId="0" applyFont="1" applyBorder="1" applyAlignment="1">
      <alignment horizontal="center" vertical="center"/>
    </xf>
    <xf numFmtId="0" fontId="56" fillId="24" borderId="1" xfId="0" applyFont="1" applyFill="1" applyBorder="1" applyAlignment="1" applyProtection="1">
      <alignment vertical="center"/>
      <protection locked="0"/>
    </xf>
    <xf numFmtId="1" fontId="56" fillId="24" borderId="1" xfId="0" applyNumberFormat="1" applyFont="1" applyFill="1" applyBorder="1" applyAlignment="1" applyProtection="1">
      <alignment horizontal="center" vertical="center"/>
      <protection locked="0"/>
    </xf>
    <xf numFmtId="0" fontId="56" fillId="24" borderId="5" xfId="0" applyFont="1" applyFill="1" applyBorder="1" applyAlignment="1" applyProtection="1">
      <alignment vertical="center"/>
      <protection locked="0"/>
    </xf>
    <xf numFmtId="0" fontId="56" fillId="24" borderId="4" xfId="0" applyFont="1" applyFill="1" applyBorder="1" applyAlignment="1" applyProtection="1">
      <alignment vertical="center"/>
      <protection locked="0"/>
    </xf>
    <xf numFmtId="1" fontId="56" fillId="24" borderId="3" xfId="0" applyNumberFormat="1" applyFont="1" applyFill="1" applyBorder="1" applyAlignment="1" applyProtection="1">
      <alignment horizontal="center" vertical="center"/>
      <protection locked="0"/>
    </xf>
    <xf numFmtId="1" fontId="56" fillId="24" borderId="4" xfId="0" applyNumberFormat="1" applyFont="1" applyFill="1" applyBorder="1" applyAlignment="1" applyProtection="1">
      <alignment horizontal="center" vertical="center"/>
      <protection locked="0"/>
    </xf>
    <xf numFmtId="0" fontId="52" fillId="0" borderId="0" xfId="0" applyFont="1" applyAlignment="1">
      <alignment vertical="center"/>
    </xf>
    <xf numFmtId="167" fontId="56" fillId="0" borderId="0" xfId="0" applyNumberFormat="1" applyFont="1" applyAlignment="1">
      <alignment horizontal="center" vertical="center"/>
    </xf>
    <xf numFmtId="0" fontId="63" fillId="0" borderId="102" xfId="0" applyFont="1" applyBorder="1" applyAlignment="1">
      <alignment vertical="center"/>
    </xf>
    <xf numFmtId="0" fontId="63" fillId="0" borderId="3" xfId="0" applyFont="1" applyBorder="1" applyAlignment="1">
      <alignment horizontal="center" vertical="center" wrapText="1"/>
    </xf>
    <xf numFmtId="0" fontId="63" fillId="0" borderId="6" xfId="0" applyFont="1" applyBorder="1" applyAlignment="1">
      <alignment horizontal="center" vertical="center" wrapText="1"/>
    </xf>
    <xf numFmtId="0" fontId="56" fillId="20" borderId="102" xfId="0" applyFont="1" applyFill="1" applyBorder="1" applyAlignment="1">
      <alignment horizontal="right" vertical="center" indent="1"/>
    </xf>
    <xf numFmtId="167" fontId="56" fillId="20" borderId="1" xfId="0" applyNumberFormat="1" applyFont="1" applyFill="1" applyBorder="1" applyAlignment="1">
      <alignment horizontal="center" vertical="center"/>
    </xf>
    <xf numFmtId="167" fontId="56" fillId="0" borderId="0" xfId="0" applyNumberFormat="1" applyFont="1" applyAlignment="1" applyProtection="1">
      <alignment horizontal="center" vertical="center"/>
      <protection locked="0"/>
    </xf>
    <xf numFmtId="167" fontId="56" fillId="24" borderId="1" xfId="0" applyNumberFormat="1" applyFont="1" applyFill="1" applyBorder="1" applyAlignment="1" applyProtection="1">
      <alignment horizontal="center" vertical="center"/>
      <protection locked="0"/>
    </xf>
    <xf numFmtId="0" fontId="61" fillId="0" borderId="0" xfId="0" applyFont="1" applyAlignment="1">
      <alignment vertical="center"/>
    </xf>
    <xf numFmtId="1" fontId="52" fillId="0" borderId="0" xfId="0" applyNumberFormat="1" applyFont="1" applyAlignment="1">
      <alignment horizontal="center" vertical="center"/>
    </xf>
    <xf numFmtId="0" fontId="57" fillId="0" borderId="101" xfId="0" applyFont="1" applyBorder="1" applyAlignment="1">
      <alignment horizontal="left" vertical="center"/>
    </xf>
    <xf numFmtId="0" fontId="57" fillId="0" borderId="5" xfId="0" applyFont="1" applyBorder="1" applyAlignment="1">
      <alignment horizontal="left" vertical="center"/>
    </xf>
    <xf numFmtId="0" fontId="56" fillId="24" borderId="102" xfId="0" quotePrefix="1" applyFont="1" applyFill="1" applyBorder="1" applyAlignment="1" applyProtection="1">
      <alignment vertical="center" wrapText="1"/>
      <protection locked="0"/>
    </xf>
    <xf numFmtId="0" fontId="56" fillId="24" borderId="1" xfId="0" applyFont="1" applyFill="1" applyBorder="1" applyAlignment="1" applyProtection="1">
      <alignment vertical="center" wrapText="1"/>
      <protection locked="0"/>
    </xf>
    <xf numFmtId="0" fontId="56" fillId="24" borderId="3" xfId="0" applyFont="1" applyFill="1" applyBorder="1" applyAlignment="1" applyProtection="1">
      <alignment vertical="center" wrapText="1"/>
      <protection locked="0"/>
    </xf>
    <xf numFmtId="0" fontId="56" fillId="24" borderId="102" xfId="0" applyFont="1" applyFill="1" applyBorder="1" applyAlignment="1" applyProtection="1">
      <alignment vertical="center" wrapText="1"/>
      <protection locked="0"/>
    </xf>
    <xf numFmtId="0" fontId="56" fillId="24" borderId="101" xfId="0" applyFont="1" applyFill="1" applyBorder="1" applyAlignment="1" applyProtection="1">
      <alignment vertical="center" wrapText="1"/>
      <protection locked="0"/>
    </xf>
    <xf numFmtId="0" fontId="56" fillId="24" borderId="5" xfId="0" applyFont="1" applyFill="1" applyBorder="1" applyAlignment="1" applyProtection="1">
      <alignment vertical="center" wrapText="1"/>
      <protection locked="0"/>
    </xf>
    <xf numFmtId="0" fontId="56" fillId="24" borderId="4" xfId="0" applyFont="1" applyFill="1" applyBorder="1" applyAlignment="1" applyProtection="1">
      <alignment vertical="center" wrapText="1"/>
      <protection locked="0"/>
    </xf>
    <xf numFmtId="0" fontId="56" fillId="0" borderId="91" xfId="0" applyFont="1" applyBorder="1" applyAlignment="1">
      <alignment horizontal="center" vertical="center"/>
    </xf>
    <xf numFmtId="0" fontId="56" fillId="0" borderId="92" xfId="0" applyFont="1" applyBorder="1" applyAlignment="1">
      <alignment vertical="center"/>
    </xf>
    <xf numFmtId="0" fontId="56" fillId="0" borderId="108" xfId="0" applyFont="1" applyBorder="1" applyAlignment="1">
      <alignment horizontal="center" vertical="center"/>
    </xf>
    <xf numFmtId="0" fontId="56" fillId="20" borderId="5" xfId="0" applyFont="1" applyFill="1" applyBorder="1" applyAlignment="1">
      <alignment horizontal="left" vertical="center" wrapText="1"/>
    </xf>
    <xf numFmtId="0" fontId="56" fillId="0" borderId="1" xfId="0" applyFont="1" applyBorder="1" applyAlignment="1">
      <alignment horizontal="right" vertical="center" indent="1"/>
    </xf>
    <xf numFmtId="0" fontId="56" fillId="20" borderId="95" xfId="0" applyFont="1" applyFill="1" applyBorder="1" applyAlignment="1">
      <alignment horizontal="left" vertical="center"/>
    </xf>
    <xf numFmtId="166" fontId="56" fillId="20" borderId="3" xfId="0" applyNumberFormat="1" applyFont="1" applyFill="1" applyBorder="1" applyAlignment="1" applyProtection="1">
      <alignment horizontal="left" vertical="center" wrapText="1"/>
      <protection locked="0"/>
    </xf>
    <xf numFmtId="166" fontId="56" fillId="20" borderId="4" xfId="0" applyNumberFormat="1" applyFont="1" applyFill="1" applyBorder="1" applyAlignment="1" applyProtection="1">
      <alignment horizontal="left" vertical="center" wrapText="1"/>
      <protection locked="0"/>
    </xf>
    <xf numFmtId="0" fontId="56" fillId="0" borderId="93" xfId="0" applyFont="1" applyBorder="1" applyAlignment="1">
      <alignment vertical="center"/>
    </xf>
    <xf numFmtId="0" fontId="57" fillId="2" borderId="101" xfId="0" applyFont="1" applyFill="1" applyBorder="1" applyAlignment="1">
      <alignment horizontal="left" vertical="center"/>
    </xf>
    <xf numFmtId="0" fontId="57" fillId="2" borderId="5" xfId="0" applyFont="1" applyFill="1" applyBorder="1" applyAlignment="1">
      <alignment horizontal="left" vertical="center"/>
    </xf>
    <xf numFmtId="0" fontId="57" fillId="2" borderId="98" xfId="0" applyFont="1" applyFill="1" applyBorder="1" applyAlignment="1">
      <alignment horizontal="left" vertical="center"/>
    </xf>
    <xf numFmtId="0" fontId="63" fillId="0" borderId="31" xfId="0" applyFont="1" applyBorder="1" applyAlignment="1">
      <alignment horizontal="center" vertical="center" wrapText="1"/>
    </xf>
    <xf numFmtId="0" fontId="63" fillId="0" borderId="103" xfId="0" applyFont="1" applyBorder="1" applyAlignment="1">
      <alignment horizontal="center" vertical="center" wrapText="1"/>
    </xf>
    <xf numFmtId="0" fontId="55" fillId="20" borderId="102" xfId="0" applyFont="1" applyFill="1" applyBorder="1" applyAlignment="1">
      <alignment horizontal="left" vertical="center" wrapText="1"/>
    </xf>
    <xf numFmtId="0" fontId="55" fillId="20" borderId="1" xfId="0" applyFont="1" applyFill="1" applyBorder="1" applyAlignment="1">
      <alignment horizontal="left" vertical="center" wrapText="1"/>
    </xf>
    <xf numFmtId="0" fontId="55" fillId="20" borderId="4" xfId="0" applyFont="1" applyFill="1" applyBorder="1" applyAlignment="1">
      <alignment horizontal="center" vertical="center"/>
    </xf>
    <xf numFmtId="0" fontId="55" fillId="20" borderId="1" xfId="0" applyFont="1" applyFill="1" applyBorder="1" applyAlignment="1">
      <alignment horizontal="center" vertical="center"/>
    </xf>
    <xf numFmtId="0" fontId="55" fillId="20" borderId="95" xfId="0" applyFont="1" applyFill="1" applyBorder="1" applyAlignment="1">
      <alignment horizontal="center" vertical="center"/>
    </xf>
    <xf numFmtId="0" fontId="57" fillId="20" borderId="1" xfId="0" applyFont="1" applyFill="1" applyBorder="1" applyAlignment="1">
      <alignment horizontal="left" vertical="center" wrapText="1"/>
    </xf>
    <xf numFmtId="0" fontId="56" fillId="0" borderId="102" xfId="0" applyFont="1" applyBorder="1" applyAlignment="1">
      <alignment horizontal="right" vertical="center" wrapText="1" indent="1"/>
    </xf>
    <xf numFmtId="0" fontId="57" fillId="20" borderId="1" xfId="0" applyFont="1" applyFill="1" applyBorder="1" applyAlignment="1">
      <alignment horizontal="left" vertical="center"/>
    </xf>
    <xf numFmtId="0" fontId="56" fillId="0" borderId="9" xfId="0" applyFont="1" applyBorder="1" applyAlignment="1">
      <alignment vertical="center"/>
    </xf>
    <xf numFmtId="0" fontId="56" fillId="0" borderId="108" xfId="0" applyFont="1" applyBorder="1" applyAlignment="1">
      <alignment vertical="center"/>
    </xf>
    <xf numFmtId="0" fontId="57" fillId="23" borderId="101" xfId="0" applyFont="1" applyFill="1" applyBorder="1" applyAlignment="1">
      <alignment horizontal="left" vertical="center"/>
    </xf>
    <xf numFmtId="0" fontId="57" fillId="23" borderId="5" xfId="0" applyFont="1" applyFill="1" applyBorder="1" applyAlignment="1">
      <alignment horizontal="left" vertical="center"/>
    </xf>
    <xf numFmtId="0" fontId="57" fillId="23" borderId="98" xfId="0" applyFont="1" applyFill="1" applyBorder="1" applyAlignment="1">
      <alignment horizontal="left" vertical="center"/>
    </xf>
    <xf numFmtId="0" fontId="58" fillId="0" borderId="101" xfId="0" applyFont="1" applyBorder="1" applyAlignment="1">
      <alignment horizontal="center" vertical="center"/>
    </xf>
    <xf numFmtId="0" fontId="56" fillId="0" borderId="1" xfId="0" applyFont="1" applyBorder="1" applyAlignment="1">
      <alignment horizontal="right" vertical="center" indent="1"/>
    </xf>
    <xf numFmtId="0" fontId="73" fillId="0" borderId="0" xfId="0" applyFont="1"/>
    <xf numFmtId="0" fontId="73" fillId="0" borderId="0" xfId="0" applyFont="1" applyAlignment="1">
      <alignment vertical="center"/>
    </xf>
    <xf numFmtId="0" fontId="56" fillId="0" borderId="3" xfId="0" applyFont="1" applyBorder="1" applyAlignment="1">
      <alignment horizontal="center" vertical="center"/>
    </xf>
    <xf numFmtId="0" fontId="56" fillId="20" borderId="4" xfId="0" applyFont="1" applyFill="1" applyBorder="1" applyAlignment="1">
      <alignment horizontal="center" vertical="center"/>
    </xf>
    <xf numFmtId="0" fontId="63" fillId="0" borderId="1" xfId="3" applyNumberFormat="1" applyFont="1" applyFill="1" applyBorder="1" applyAlignment="1">
      <alignment horizontal="center" vertical="center" wrapText="1"/>
    </xf>
    <xf numFmtId="0" fontId="56" fillId="0" borderId="1" xfId="0" applyFont="1" applyBorder="1" applyAlignment="1">
      <alignment horizontal="center" vertical="center"/>
    </xf>
    <xf numFmtId="0" fontId="56" fillId="0" borderId="1" xfId="0" applyFont="1" applyBorder="1" applyAlignment="1">
      <alignment vertical="center"/>
    </xf>
    <xf numFmtId="0" fontId="56" fillId="0" borderId="94" xfId="0" applyFont="1" applyBorder="1" applyAlignment="1">
      <alignment horizontal="right" vertical="center" wrapText="1" indent="1"/>
    </xf>
    <xf numFmtId="170" fontId="56" fillId="20" borderId="1" xfId="3" applyNumberFormat="1" applyFont="1" applyFill="1" applyBorder="1" applyAlignment="1">
      <alignment horizontal="center" vertical="center" wrapText="1"/>
    </xf>
    <xf numFmtId="170" fontId="56" fillId="20" borderId="1" xfId="0" applyNumberFormat="1" applyFont="1" applyFill="1" applyBorder="1" applyAlignment="1">
      <alignment horizontal="center" vertical="center" wrapText="1"/>
    </xf>
    <xf numFmtId="0" fontId="56" fillId="0" borderId="1" xfId="0" applyFont="1" applyBorder="1" applyAlignment="1">
      <alignment horizontal="right" vertical="center" wrapText="1" indent="1"/>
    </xf>
    <xf numFmtId="0" fontId="56" fillId="0" borderId="92" xfId="0" applyFont="1" applyBorder="1" applyAlignment="1">
      <alignment horizontal="right" vertical="center"/>
    </xf>
    <xf numFmtId="169" fontId="56" fillId="0" borderId="0" xfId="2" applyNumberFormat="1" applyFont="1" applyFill="1" applyBorder="1" applyAlignment="1">
      <alignment vertical="center"/>
    </xf>
    <xf numFmtId="0" fontId="63" fillId="0" borderId="5" xfId="0" applyFont="1" applyBorder="1" applyAlignment="1">
      <alignment horizontal="center" vertical="center"/>
    </xf>
    <xf numFmtId="0" fontId="56" fillId="0" borderId="0" xfId="0" applyFont="1" applyAlignment="1">
      <alignment horizontal="left" vertical="center" wrapText="1"/>
    </xf>
    <xf numFmtId="0" fontId="56" fillId="0" borderId="93" xfId="0" applyFont="1" applyBorder="1" applyAlignment="1">
      <alignment horizontal="left" vertical="center" wrapText="1"/>
    </xf>
    <xf numFmtId="0" fontId="63" fillId="0" borderId="31" xfId="3" applyNumberFormat="1" applyFont="1" applyFill="1" applyBorder="1" applyAlignment="1">
      <alignment horizontal="center" vertical="center" wrapText="1"/>
    </xf>
    <xf numFmtId="0" fontId="63" fillId="0" borderId="6" xfId="3" applyNumberFormat="1" applyFont="1" applyFill="1" applyBorder="1" applyAlignment="1">
      <alignment horizontal="center" vertical="center" wrapText="1"/>
    </xf>
    <xf numFmtId="0" fontId="56" fillId="0" borderId="109" xfId="0" applyFont="1" applyBorder="1" applyAlignment="1">
      <alignment horizontal="right" vertical="center" wrapText="1" indent="1"/>
    </xf>
    <xf numFmtId="169" fontId="56" fillId="20" borderId="1" xfId="2" applyNumberFormat="1" applyFont="1" applyFill="1" applyBorder="1" applyAlignment="1">
      <alignment vertical="center"/>
    </xf>
    <xf numFmtId="0" fontId="74" fillId="0" borderId="0" xfId="0" applyFont="1" applyAlignment="1">
      <alignment horizontal="center" vertical="center" wrapText="1"/>
    </xf>
    <xf numFmtId="0" fontId="74" fillId="0" borderId="93" xfId="0" applyFont="1" applyBorder="1" applyAlignment="1">
      <alignment horizontal="center" vertical="center" wrapText="1"/>
    </xf>
    <xf numFmtId="9" fontId="56" fillId="0" borderId="0" xfId="3" applyFont="1" applyFill="1"/>
    <xf numFmtId="170" fontId="56" fillId="20" borderId="1" xfId="3" applyNumberFormat="1" applyFont="1" applyFill="1" applyBorder="1" applyAlignment="1">
      <alignment horizontal="center" vertical="center"/>
    </xf>
    <xf numFmtId="9" fontId="56" fillId="0" borderId="0" xfId="0" applyNumberFormat="1" applyFont="1"/>
    <xf numFmtId="0" fontId="56" fillId="0" borderId="0" xfId="0" applyFont="1" applyAlignment="1">
      <alignment horizontal="right" vertical="center" wrapText="1" indent="1"/>
    </xf>
    <xf numFmtId="170" fontId="56" fillId="0" borderId="0" xfId="3" applyNumberFormat="1" applyFont="1" applyFill="1" applyBorder="1" applyAlignment="1">
      <alignment horizontal="center" vertical="center"/>
    </xf>
    <xf numFmtId="170" fontId="56" fillId="0" borderId="1" xfId="3" applyNumberFormat="1" applyFont="1" applyFill="1" applyBorder="1" applyAlignment="1">
      <alignment horizontal="center" vertical="center"/>
    </xf>
    <xf numFmtId="0" fontId="56" fillId="0" borderId="99" xfId="0" applyFont="1" applyBorder="1" applyAlignment="1">
      <alignment horizontal="right" vertical="center"/>
    </xf>
    <xf numFmtId="169" fontId="52" fillId="0" borderId="9" xfId="2" applyNumberFormat="1" applyFont="1" applyFill="1" applyBorder="1" applyAlignment="1">
      <alignment horizontal="center" vertical="center"/>
    </xf>
    <xf numFmtId="0" fontId="56" fillId="0" borderId="9" xfId="0" applyFont="1" applyBorder="1" applyAlignment="1">
      <alignment vertical="center" wrapText="1"/>
    </xf>
    <xf numFmtId="0" fontId="74" fillId="0" borderId="9" xfId="0" applyFont="1" applyBorder="1" applyAlignment="1">
      <alignment horizontal="center" vertical="center" wrapText="1"/>
    </xf>
    <xf numFmtId="0" fontId="74" fillId="0" borderId="108" xfId="0" applyFont="1" applyBorder="1" applyAlignment="1">
      <alignment horizontal="center" vertical="center" wrapText="1"/>
    </xf>
    <xf numFmtId="0" fontId="57" fillId="22" borderId="101" xfId="0" applyFont="1" applyFill="1" applyBorder="1" applyAlignment="1">
      <alignment horizontal="left" vertical="center"/>
    </xf>
    <xf numFmtId="0" fontId="57" fillId="22" borderId="5" xfId="0" applyFont="1" applyFill="1" applyBorder="1" applyAlignment="1">
      <alignment horizontal="left" vertical="center"/>
    </xf>
    <xf numFmtId="0" fontId="57" fillId="22" borderId="98" xfId="0" applyFont="1" applyFill="1" applyBorder="1" applyAlignment="1">
      <alignment horizontal="left" vertical="center"/>
    </xf>
    <xf numFmtId="0" fontId="57" fillId="0" borderId="99" xfId="0" applyFont="1" applyBorder="1" applyAlignment="1">
      <alignment horizontal="center" vertical="center"/>
    </xf>
    <xf numFmtId="0" fontId="57" fillId="0" borderId="9" xfId="0" applyFont="1" applyBorder="1" applyAlignment="1">
      <alignment horizontal="center" vertical="center"/>
    </xf>
    <xf numFmtId="0" fontId="57" fillId="0" borderId="8" xfId="0" applyFont="1" applyBorder="1" applyAlignment="1">
      <alignment horizontal="center" vertical="center"/>
    </xf>
    <xf numFmtId="0" fontId="57" fillId="0" borderId="0" xfId="0" applyFont="1" applyAlignment="1">
      <alignment horizontal="center" vertical="center"/>
    </xf>
    <xf numFmtId="0" fontId="57" fillId="0" borderId="93" xfId="0" applyFont="1" applyBorder="1" applyAlignment="1">
      <alignment horizontal="center" vertical="center"/>
    </xf>
    <xf numFmtId="0" fontId="55" fillId="0" borderId="125" xfId="0" applyFont="1" applyBorder="1" applyAlignment="1">
      <alignment vertical="center" wrapText="1"/>
    </xf>
    <xf numFmtId="0" fontId="75" fillId="0" borderId="123" xfId="0" applyFont="1" applyBorder="1" applyAlignment="1">
      <alignment horizontal="center" vertical="center" wrapText="1"/>
    </xf>
    <xf numFmtId="0" fontId="75" fillId="0" borderId="124" xfId="0" applyFont="1" applyBorder="1" applyAlignment="1">
      <alignment horizontal="center" vertical="center" wrapText="1"/>
    </xf>
    <xf numFmtId="0" fontId="55" fillId="0" borderId="121" xfId="0" applyFont="1" applyBorder="1" applyAlignment="1">
      <alignment horizontal="center" vertical="center" wrapText="1"/>
    </xf>
    <xf numFmtId="0" fontId="55" fillId="0" borderId="122" xfId="0" applyFont="1" applyBorder="1" applyAlignment="1">
      <alignment horizontal="center" vertical="center" wrapText="1"/>
    </xf>
    <xf numFmtId="0" fontId="0" fillId="19" borderId="0" xfId="0" applyFont="1" applyFill="1" applyAlignment="1">
      <alignment horizontal="center" vertical="center"/>
    </xf>
    <xf numFmtId="0" fontId="0" fillId="19" borderId="0" xfId="0" applyFont="1" applyFill="1" applyAlignment="1">
      <alignment vertical="center"/>
    </xf>
    <xf numFmtId="0" fontId="0" fillId="20" borderId="0" xfId="0" applyFont="1" applyFill="1" applyAlignment="1">
      <alignment horizontal="left" vertical="center"/>
    </xf>
    <xf numFmtId="0" fontId="0" fillId="0" borderId="0" xfId="0" applyFont="1" applyAlignment="1">
      <alignment vertical="center"/>
    </xf>
    <xf numFmtId="0" fontId="0" fillId="20" borderId="0" xfId="0" applyFont="1" applyFill="1" applyAlignment="1">
      <alignment horizontal="left" vertical="center"/>
    </xf>
    <xf numFmtId="0" fontId="0" fillId="20" borderId="0" xfId="0" applyFont="1" applyFill="1" applyAlignment="1">
      <alignment horizontal="center" vertical="center"/>
    </xf>
    <xf numFmtId="0" fontId="0" fillId="19" borderId="0" xfId="0" applyFont="1" applyFill="1" applyAlignment="1">
      <alignment vertical="center" wrapText="1"/>
    </xf>
    <xf numFmtId="1" fontId="0" fillId="20" borderId="0" xfId="0" applyNumberFormat="1" applyFont="1" applyFill="1" applyAlignment="1">
      <alignment horizontal="center" vertical="center"/>
    </xf>
    <xf numFmtId="0" fontId="0" fillId="19" borderId="0" xfId="0" applyFont="1" applyFill="1" applyAlignment="1">
      <alignment horizontal="left" vertical="center" wrapText="1"/>
    </xf>
    <xf numFmtId="0" fontId="0" fillId="0" borderId="0" xfId="0" applyFont="1" applyAlignment="1">
      <alignment horizontal="center" vertical="center"/>
    </xf>
    <xf numFmtId="0" fontId="0" fillId="0" borderId="0" xfId="0" applyFont="1"/>
    <xf numFmtId="1" fontId="0" fillId="19" borderId="0" xfId="0" applyNumberFormat="1" applyFont="1" applyFill="1" applyAlignment="1">
      <alignment horizontal="center" vertical="center"/>
    </xf>
    <xf numFmtId="0" fontId="0" fillId="0" borderId="81" xfId="0" applyFont="1" applyBorder="1" applyAlignment="1">
      <alignment vertical="center"/>
    </xf>
    <xf numFmtId="0" fontId="0" fillId="20" borderId="12" xfId="0" applyFont="1" applyFill="1" applyBorder="1" applyAlignment="1">
      <alignment horizontal="center" vertical="center"/>
    </xf>
    <xf numFmtId="167" fontId="0" fillId="0" borderId="0" xfId="0" applyNumberFormat="1" applyFont="1" applyAlignment="1">
      <alignment vertical="center"/>
    </xf>
    <xf numFmtId="0" fontId="0" fillId="20" borderId="80" xfId="0" applyFont="1" applyFill="1" applyBorder="1" applyAlignment="1">
      <alignment horizontal="center" vertical="center"/>
    </xf>
    <xf numFmtId="0" fontId="0" fillId="20" borderId="127" xfId="0" applyFont="1" applyFill="1" applyBorder="1" applyAlignment="1">
      <alignment horizontal="center" vertical="center"/>
    </xf>
    <xf numFmtId="0" fontId="0" fillId="0" borderId="128" xfId="0" applyFont="1" applyBorder="1"/>
    <xf numFmtId="0" fontId="0" fillId="0" borderId="116" xfId="0" applyFont="1" applyBorder="1" applyAlignment="1">
      <alignment vertical="center"/>
    </xf>
    <xf numFmtId="1" fontId="0" fillId="0" borderId="58" xfId="0" applyNumberFormat="1" applyFont="1" applyBorder="1" applyAlignment="1">
      <alignment vertical="center"/>
    </xf>
    <xf numFmtId="0" fontId="0" fillId="19" borderId="29" xfId="0" applyFont="1" applyFill="1" applyBorder="1" applyAlignment="1">
      <alignment horizontal="center" vertical="center"/>
    </xf>
    <xf numFmtId="0" fontId="0" fillId="19" borderId="43" xfId="0" applyFont="1" applyFill="1" applyBorder="1" applyAlignment="1">
      <alignment horizontal="center" vertical="center"/>
    </xf>
    <xf numFmtId="0" fontId="0" fillId="19" borderId="21" xfId="0" applyFont="1" applyFill="1" applyBorder="1" applyAlignment="1">
      <alignment horizontal="center" vertical="center"/>
    </xf>
    <xf numFmtId="0" fontId="0" fillId="20" borderId="76" xfId="0" applyFont="1" applyFill="1" applyBorder="1" applyAlignment="1">
      <alignment horizontal="center" vertical="center"/>
    </xf>
    <xf numFmtId="0" fontId="0" fillId="19" borderId="131" xfId="0" applyFont="1" applyFill="1" applyBorder="1" applyAlignment="1">
      <alignment horizontal="center" vertical="center"/>
    </xf>
    <xf numFmtId="0" fontId="0" fillId="19" borderId="87" xfId="0" applyFont="1" applyFill="1" applyBorder="1" applyAlignment="1">
      <alignment horizontal="center" vertical="center"/>
    </xf>
    <xf numFmtId="167" fontId="0" fillId="0" borderId="0" xfId="0" applyNumberFormat="1" applyFont="1" applyAlignment="1">
      <alignment horizontal="center" vertical="center"/>
    </xf>
    <xf numFmtId="0" fontId="39" fillId="19" borderId="72" xfId="0" applyFont="1" applyFill="1" applyBorder="1" applyAlignment="1">
      <alignment horizontal="center" vertical="center"/>
    </xf>
    <xf numFmtId="2" fontId="0" fillId="19" borderId="0" xfId="0" applyNumberFormat="1" applyFont="1" applyFill="1" applyAlignment="1">
      <alignment horizontal="center" vertical="center"/>
    </xf>
    <xf numFmtId="165" fontId="0" fillId="19" borderId="0" xfId="0" applyNumberFormat="1" applyFont="1" applyFill="1" applyAlignment="1">
      <alignment horizontal="center" vertical="center"/>
    </xf>
    <xf numFmtId="171" fontId="0" fillId="0" borderId="0" xfId="0" applyNumberFormat="1" applyFont="1" applyAlignment="1">
      <alignment vertical="center"/>
    </xf>
    <xf numFmtId="0" fontId="10" fillId="0" borderId="92" xfId="1" applyFill="1" applyBorder="1" applyAlignment="1" applyProtection="1">
      <alignment horizontal="left" vertical="top"/>
      <protection locked="0"/>
    </xf>
    <xf numFmtId="0" fontId="10" fillId="0" borderId="0" xfId="1" applyFill="1" applyBorder="1" applyAlignment="1" applyProtection="1">
      <alignment horizontal="left" vertical="top"/>
      <protection locked="0"/>
    </xf>
  </cellXfs>
  <cellStyles count="6">
    <cellStyle name="Comma" xfId="2" builtinId="3"/>
    <cellStyle name="Hyperlink" xfId="1" builtinId="8"/>
    <cellStyle name="Normal" xfId="0" builtinId="0"/>
    <cellStyle name="Normal 2" xfId="4" xr:uid="{A7100B67-E05D-437D-BA47-44F725ABE547}"/>
    <cellStyle name="Normal 2 2" xfId="5" xr:uid="{F3828D2F-AAE0-466E-A541-9A53B2B1BF8C}"/>
    <cellStyle name="Per cent" xfId="3" builtinId="5"/>
  </cellStyles>
  <dxfs count="73">
    <dxf>
      <fill>
        <patternFill>
          <bgColor rgb="FFFF3300"/>
        </patternFill>
      </fill>
    </dxf>
    <dxf>
      <fill>
        <patternFill>
          <bgColor rgb="FFFFC000"/>
        </patternFill>
      </fill>
    </dxf>
    <dxf>
      <fill>
        <patternFill>
          <bgColor rgb="FF92D050"/>
        </patternFill>
      </fill>
    </dxf>
    <dxf>
      <font>
        <color auto="1"/>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i val="0"/>
        <color rgb="FFC8C8C8"/>
      </font>
      <fill>
        <patternFill>
          <bgColor rgb="FF112A2F"/>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bgColor auto="1"/>
        </patternFill>
      </fill>
    </dxf>
    <dxf>
      <fill>
        <patternFill>
          <bgColor rgb="FFFF3300"/>
        </patternFill>
      </fill>
    </dxf>
    <dxf>
      <fill>
        <patternFill>
          <bgColor rgb="FFFFC000"/>
        </patternFill>
      </fill>
    </dxf>
    <dxf>
      <fill>
        <patternFill patternType="none">
          <bgColor auto="1"/>
        </patternFill>
      </fill>
    </dxf>
    <dxf>
      <fill>
        <patternFill patternType="none">
          <bgColor auto="1"/>
        </patternFill>
      </fill>
    </dxf>
    <dxf>
      <fill>
        <patternFill>
          <bgColor rgb="FFFFC000"/>
        </patternFill>
      </fill>
    </dxf>
    <dxf>
      <fill>
        <patternFill>
          <bgColor rgb="FF92D050"/>
        </patternFill>
      </fill>
    </dxf>
    <dxf>
      <fill>
        <patternFill>
          <bgColor rgb="FF92D050"/>
        </patternFill>
      </fill>
    </dxf>
    <dxf>
      <fill>
        <patternFill>
          <bgColor rgb="FFFF3300"/>
        </patternFill>
      </fill>
    </dxf>
    <dxf>
      <fill>
        <patternFill>
          <bgColor rgb="FFFFC000"/>
        </patternFill>
      </fill>
    </dxf>
    <dxf>
      <fill>
        <patternFill>
          <bgColor rgb="FF92D050"/>
        </patternFill>
      </fill>
    </dxf>
    <dxf>
      <font>
        <color auto="1"/>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i val="0"/>
        <color rgb="FFC8C8C8"/>
      </font>
      <fill>
        <patternFill>
          <bgColor rgb="FF112A2F"/>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bgColor auto="1"/>
        </patternFill>
      </fill>
    </dxf>
    <dxf>
      <fill>
        <patternFill>
          <bgColor rgb="FFFF3300"/>
        </patternFill>
      </fill>
    </dxf>
    <dxf>
      <fill>
        <patternFill>
          <bgColor rgb="FFFFC000"/>
        </patternFill>
      </fill>
    </dxf>
    <dxf>
      <fill>
        <patternFill patternType="none">
          <bgColor auto="1"/>
        </patternFill>
      </fill>
    </dxf>
    <dxf>
      <fill>
        <patternFill patternType="none">
          <bgColor auto="1"/>
        </patternFill>
      </fill>
    </dxf>
    <dxf>
      <fill>
        <patternFill>
          <bgColor rgb="FFFFC000"/>
        </patternFill>
      </fill>
    </dxf>
    <dxf>
      <fill>
        <patternFill>
          <bgColor rgb="FF92D050"/>
        </patternFill>
      </fill>
    </dxf>
    <dxf>
      <fill>
        <patternFill>
          <bgColor rgb="FF92D05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patternType="none">
          <bgColor auto="1"/>
        </patternFill>
      </fill>
    </dxf>
    <dxf>
      <font>
        <color rgb="FF9C0006"/>
      </font>
      <fill>
        <patternFill patternType="none">
          <bgColor auto="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3300"/>
        </patternFill>
      </fill>
    </dxf>
    <dxf>
      <fill>
        <patternFill>
          <bgColor rgb="FFFFC000"/>
        </patternFill>
      </fill>
    </dxf>
    <dxf>
      <fill>
        <patternFill>
          <bgColor rgb="FF92D050"/>
        </patternFill>
      </fill>
    </dxf>
    <dxf>
      <font>
        <color rgb="FF112A2F"/>
      </font>
      <fill>
        <patternFill>
          <bgColor rgb="FFC6E0B4"/>
        </patternFill>
      </fill>
      <border>
        <left style="thin">
          <color rgb="FFC8C8C8"/>
        </left>
        <right style="thin">
          <color rgb="FFC8C8C8"/>
        </right>
        <top style="thin">
          <color rgb="FFC8C8C8"/>
        </top>
        <bottom style="thin">
          <color rgb="FFC8C8C8"/>
        </bottom>
      </border>
    </dxf>
    <dxf>
      <font>
        <color theme="0"/>
      </font>
      <fill>
        <patternFill patternType="solid">
          <bgColor theme="0"/>
        </patternFill>
      </fill>
      <border>
        <left/>
        <right/>
        <top/>
        <bottom/>
        <vertical/>
        <horizontal/>
      </border>
    </dxf>
    <dxf>
      <font>
        <color rgb="FF006100"/>
      </font>
      <fill>
        <patternFill>
          <bgColor rgb="FFC6EFCE"/>
        </patternFill>
      </fill>
    </dxf>
    <dxf>
      <font>
        <color rgb="FF9C0006"/>
      </font>
      <fill>
        <patternFill>
          <bgColor rgb="FFFFC7CE"/>
        </patternFill>
      </fill>
    </dxf>
    <dxf>
      <font>
        <color rgb="FFC8C8C8"/>
      </font>
      <fill>
        <patternFill>
          <bgColor rgb="FF183D44"/>
        </patternFill>
      </fill>
      <border>
        <right style="thin">
          <color rgb="FFC8C8C8"/>
        </right>
        <top style="thin">
          <color rgb="FFC8C8C8"/>
        </top>
        <bottom style="thin">
          <color rgb="FFC8C8C8"/>
        </bottom>
      </border>
    </dxf>
    <dxf>
      <font>
        <color rgb="FF112A2F"/>
      </font>
      <fill>
        <patternFill patternType="solid">
          <bgColor theme="8" tint="0.79998168889431442"/>
        </patternFill>
      </fill>
      <border>
        <left style="thin">
          <color rgb="FFC8C8C8"/>
        </left>
        <right style="thin">
          <color rgb="FFC8C8C8"/>
        </right>
        <top style="thin">
          <color rgb="FFC8C8C8"/>
        </top>
        <bottom style="thin">
          <color rgb="FFC8C8C8"/>
        </bottom>
        <vertical/>
        <horizontal/>
      </border>
    </dxf>
    <dxf>
      <font>
        <color rgb="FF112A2F"/>
      </font>
      <fill>
        <patternFill patternType="solid">
          <bgColor theme="8" tint="0.79998168889431442"/>
        </patternFill>
      </fill>
      <border>
        <left style="thin">
          <color rgb="FFC8C8C8"/>
        </left>
        <right style="thin">
          <color rgb="FFC8C8C8"/>
        </right>
        <top style="thin">
          <color rgb="FFC8C8C8"/>
        </top>
        <bottom style="thin">
          <color rgb="FFC8C8C8"/>
        </bottom>
        <vertical/>
        <horizontal/>
      </border>
    </dxf>
    <dxf>
      <font>
        <color rgb="FF006100"/>
      </font>
      <fill>
        <patternFill>
          <bgColor rgb="FFC6EFCE"/>
        </patternFill>
      </fill>
    </dxf>
    <dxf>
      <font>
        <color rgb="FF9C0006"/>
      </font>
      <fill>
        <patternFill>
          <bgColor rgb="FFFFC7CE"/>
        </patternFill>
      </fill>
    </dxf>
    <dxf>
      <font>
        <color rgb="FF9C0006"/>
      </font>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patternType="none">
          <bgColor auto="1"/>
        </patternFill>
      </fill>
    </dxf>
    <dxf>
      <font>
        <color rgb="FF112A2F"/>
      </font>
      <fill>
        <patternFill patternType="solid">
          <bgColor theme="8" tint="0.79998168889431442"/>
        </patternFill>
      </fill>
      <border>
        <left style="thin">
          <color rgb="FFC8C8C8"/>
        </left>
        <right style="thin">
          <color rgb="FFC8C8C8"/>
        </right>
        <top style="thin">
          <color rgb="FFC8C8C8"/>
        </top>
        <bottom style="thin">
          <color rgb="FFC8C8C8"/>
        </bottom>
        <vertical/>
        <horizontal/>
      </border>
    </dxf>
    <dxf>
      <font>
        <color theme="0"/>
      </font>
      <fill>
        <patternFill>
          <fgColor theme="0"/>
          <bgColor theme="0"/>
        </patternFill>
      </fill>
      <border>
        <left/>
        <right/>
        <bottom/>
        <vertical/>
        <horizontal/>
      </border>
    </dxf>
    <dxf>
      <font>
        <color theme="0"/>
      </font>
      <fill>
        <patternFill patternType="solid">
          <fgColor theme="0"/>
          <bgColor theme="0"/>
        </patternFill>
      </fill>
      <border>
        <left/>
        <right/>
        <top style="thin">
          <color rgb="FFC8C8C8"/>
        </top>
        <bottom/>
        <vertical/>
        <horizontal/>
      </border>
    </dxf>
    <dxf>
      <fill>
        <patternFill patternType="solid">
          <fgColor rgb="FF92D050"/>
          <bgColor rgb="FF92D050"/>
        </patternFill>
      </fill>
      <border>
        <left style="thin">
          <color rgb="FFC8C8C8"/>
        </left>
        <right style="thin">
          <color rgb="FFC8C8C8"/>
        </right>
        <top style="thin">
          <color rgb="FFC8C8C8"/>
        </top>
        <bottom style="thin">
          <color rgb="FFC8C8C8"/>
        </bottom>
      </border>
    </dxf>
    <dxf>
      <fill>
        <patternFill patternType="solid">
          <fgColor rgb="FFFFFF00"/>
          <bgColor rgb="FFFFFF00"/>
        </patternFill>
      </fill>
      <border>
        <left style="thin">
          <color rgb="FFC8C8C8"/>
        </left>
        <right style="thin">
          <color rgb="FFC8C8C8"/>
        </right>
        <top style="thin">
          <color rgb="FFC8C8C8"/>
        </top>
        <bottom style="thin">
          <color rgb="FFC8C8C8"/>
        </bottom>
      </border>
    </dxf>
    <dxf>
      <fill>
        <patternFill patternType="solid">
          <fgColor rgb="FFFFC000"/>
          <bgColor rgb="FFFFC000"/>
        </patternFill>
      </fill>
      <border>
        <left style="thin">
          <color rgb="FFC8C8C8"/>
        </left>
        <right style="thin">
          <color rgb="FFC8C8C8"/>
        </right>
        <top style="thin">
          <color rgb="FFC8C8C8"/>
        </top>
        <bottom style="thin">
          <color rgb="FFC8C8C8"/>
        </bottom>
      </border>
    </dxf>
    <dxf>
      <fill>
        <patternFill patternType="solid">
          <fgColor rgb="FFFF0000"/>
          <bgColor rgb="FFFF0000"/>
        </patternFill>
      </fill>
      <border>
        <left style="thin">
          <color rgb="FFC8C8C8"/>
        </left>
        <right style="thin">
          <color rgb="FFC8C8C8"/>
        </right>
        <top style="thin">
          <color rgb="FFC8C8C8"/>
        </top>
        <bottom style="thin">
          <color rgb="FFC8C8C8"/>
        </bottom>
      </border>
    </dxf>
    <dxf>
      <fill>
        <patternFill patternType="solid">
          <fgColor rgb="FFC00000"/>
          <bgColor rgb="FFC00000"/>
        </patternFill>
      </fill>
      <border>
        <left style="thin">
          <color rgb="FFC8C8C8"/>
        </left>
        <right style="thin">
          <color rgb="FFC8C8C8"/>
        </right>
        <top style="thin">
          <color rgb="FFC8C8C8"/>
        </top>
        <bottom style="thin">
          <color rgb="FFC8C8C8"/>
        </bottom>
      </border>
    </dxf>
    <dxf>
      <font>
        <color rgb="FFFFFFFF"/>
      </font>
      <fill>
        <patternFill patternType="solid">
          <fgColor rgb="FF000000"/>
          <bgColor rgb="FF000000"/>
        </patternFill>
      </fill>
      <border>
        <left style="thin">
          <color rgb="FFC8C8C8"/>
        </left>
        <right style="thin">
          <color rgb="FFC8C8C8"/>
        </right>
        <top style="thin">
          <color rgb="FFC8C8C8"/>
        </top>
        <bottom style="thin">
          <color rgb="FFC8C8C8"/>
        </bottom>
      </border>
    </dxf>
    <dxf>
      <fill>
        <patternFill>
          <bgColor rgb="FFFF3300"/>
        </patternFill>
      </fill>
    </dxf>
    <dxf>
      <fill>
        <patternFill>
          <bgColor rgb="FFFFC000"/>
        </patternFill>
      </fill>
    </dxf>
    <dxf>
      <fill>
        <patternFill>
          <bgColor rgb="FF92D050"/>
        </patternFill>
      </fill>
    </dxf>
    <dxf>
      <font>
        <color theme="0"/>
      </font>
      <fill>
        <patternFill>
          <fgColor theme="0"/>
          <bgColor theme="0"/>
        </patternFill>
      </fill>
      <border>
        <left/>
        <right/>
        <top style="thin">
          <color rgb="FFC8C8C8"/>
        </top>
        <bottom/>
        <vertical/>
        <horizontal/>
      </border>
    </dxf>
    <dxf>
      <border>
        <right style="thin">
          <color rgb="FFC8C8C8"/>
        </right>
        <vertical/>
        <horizontal/>
      </border>
    </dxf>
    <dxf>
      <font>
        <color theme="0"/>
      </font>
      <fill>
        <patternFill patternType="none">
          <bgColor auto="1"/>
        </patternFill>
      </fill>
      <border>
        <left/>
        <right/>
        <top style="thin">
          <color rgb="FFC8C8C8"/>
        </top>
        <bottom/>
        <vertical/>
        <horizontal/>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77A600"/>
      <color rgb="FF001930"/>
      <color rgb="FFEDEDED"/>
      <color rgb="FF4472C4"/>
      <color rgb="FFC6E0B4"/>
      <color rgb="FFC8C8C8"/>
      <color rgb="FF183D44"/>
      <color rgb="FFD8EACC"/>
      <color rgb="FFD2E6C4"/>
      <color rgb="FFE4F0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Corridor Productivity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RESULTS!$B$34</c:f>
              <c:strCache>
                <c:ptCount val="1"/>
                <c:pt idx="0">
                  <c:v>People movement productivity</c:v>
                </c:pt>
              </c:strCache>
            </c:strRef>
          </c:tx>
          <c:spPr>
            <a:solidFill>
              <a:srgbClr val="4472C4">
                <a:alpha val="74000"/>
              </a:srgbClr>
            </a:solidFill>
            <a:ln w="12700">
              <a:solidFill>
                <a:schemeClr val="accen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RESULTS!$A$35:$A$37</c:f>
              <c:strCache>
                <c:ptCount val="2"/>
                <c:pt idx="0">
                  <c:v>Base case - T3 Lane</c:v>
                </c:pt>
                <c:pt idx="1">
                  <c:v>Option 1 - HV + Bus Lane</c:v>
                </c:pt>
              </c:strCache>
            </c:strRef>
          </c:cat>
          <c:val>
            <c:numRef>
              <c:f>RESULTS!$B$35:$B$37</c:f>
              <c:numCache>
                <c:formatCode>_-* #,##0_-;\-* #,##0_-;_-* "-"??_-;_-@_-</c:formatCode>
                <c:ptCount val="3"/>
                <c:pt idx="0">
                  <c:v>27890</c:v>
                </c:pt>
                <c:pt idx="1">
                  <c:v>6390</c:v>
                </c:pt>
                <c:pt idx="2">
                  <c:v>0</c:v>
                </c:pt>
              </c:numCache>
            </c:numRef>
          </c:val>
          <c:extLst>
            <c:ext xmlns:c16="http://schemas.microsoft.com/office/drawing/2014/chart" uri="{C3380CC4-5D6E-409C-BE32-E72D297353CC}">
              <c16:uniqueId val="{00000000-ED54-4ABD-98DE-CA25259D34C0}"/>
            </c:ext>
          </c:extLst>
        </c:ser>
        <c:dLbls>
          <c:dLblPos val="inEnd"/>
          <c:showLegendKey val="0"/>
          <c:showVal val="1"/>
          <c:showCatName val="0"/>
          <c:showSerName val="0"/>
          <c:showPercent val="0"/>
          <c:showBubbleSize val="0"/>
        </c:dLbls>
        <c:gapWidth val="60"/>
        <c:overlap val="-30"/>
        <c:axId val="2132719167"/>
        <c:axId val="940089503"/>
      </c:barChart>
      <c:barChart>
        <c:barDir val="col"/>
        <c:grouping val="clustered"/>
        <c:varyColors val="0"/>
        <c:ser>
          <c:idx val="1"/>
          <c:order val="1"/>
          <c:tx>
            <c:strRef>
              <c:f>RESULTS!$C$34</c:f>
              <c:strCache>
                <c:ptCount val="1"/>
                <c:pt idx="0">
                  <c:v>Productivity improvement</c:v>
                </c:pt>
              </c:strCache>
            </c:strRef>
          </c:tx>
          <c:spPr>
            <a:no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3-CAF3-449B-96F1-12D90B979613}"/>
                </c:ext>
              </c:extLst>
            </c:dLbl>
            <c:dLbl>
              <c:idx val="1"/>
              <c:tx>
                <c:rich>
                  <a:bodyPr/>
                  <a:lstStyle/>
                  <a:p>
                    <a:fld id="{7E1F92F2-DEF6-4DFF-93ED-0B3C5A4F23ED}" type="VALUE">
                      <a:rPr lang="en-US" sz="1100" b="1">
                        <a:solidFill>
                          <a:schemeClr val="bg1"/>
                        </a:solidFill>
                      </a:rPr>
                      <a:pPr/>
                      <a:t>[VALUE]</a:t>
                    </a:fld>
                    <a:endParaRPr lang="en-GB"/>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CAF3-449B-96F1-12D90B979613}"/>
                </c:ext>
              </c:extLst>
            </c:dLbl>
            <c:dLbl>
              <c:idx val="2"/>
              <c:spPr>
                <a:noFill/>
                <a:ln>
                  <a:noFill/>
                </a:ln>
                <a:effectLst/>
              </c:spPr>
              <c:txPr>
                <a:bodyPr rot="0" spcFirstLastPara="1" vertOverflow="overflow" horzOverflow="overflow"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dLblPos val="inBase"/>
              <c:showLegendKey val="0"/>
              <c:showVal val="1"/>
              <c:showCatName val="0"/>
              <c:showSerName val="0"/>
              <c:showPercent val="0"/>
              <c:showBubbleSize val="0"/>
              <c:extLst>
                <c:ext xmlns:c16="http://schemas.microsoft.com/office/drawing/2014/chart" uri="{C3380CC4-5D6E-409C-BE32-E72D297353CC}">
                  <c16:uniqueId val="{00000001-4206-4DC0-8334-8D2F2F6B3B5C}"/>
                </c:ext>
              </c:extLst>
            </c:dLbl>
            <c:spPr>
              <a:noFill/>
              <a:ln>
                <a:noFill/>
              </a:ln>
              <a:effectLst/>
            </c:spPr>
            <c:txPr>
              <a:bodyPr rot="0" spcFirstLastPara="1" vertOverflow="overflow" horzOverflow="overflow"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RESULTS!$A$29:$A$31</c:f>
              <c:strCache>
                <c:ptCount val="3"/>
                <c:pt idx="0">
                  <c:v>Base case - T3 Lane</c:v>
                </c:pt>
                <c:pt idx="1">
                  <c:v>Option 1 - HV + Bus Lane</c:v>
                </c:pt>
                <c:pt idx="2">
                  <c:v>Option 2 - N/A</c:v>
                </c:pt>
              </c:strCache>
            </c:strRef>
          </c:cat>
          <c:val>
            <c:numRef>
              <c:f>RESULTS!$C$35:$C$37</c:f>
              <c:numCache>
                <c:formatCode>\+0.0%;\-0.0%;\-</c:formatCode>
                <c:ptCount val="3"/>
                <c:pt idx="0" formatCode="General">
                  <c:v>0</c:v>
                </c:pt>
                <c:pt idx="1">
                  <c:v>-0.77100000000000002</c:v>
                </c:pt>
                <c:pt idx="2">
                  <c:v>0</c:v>
                </c:pt>
              </c:numCache>
            </c:numRef>
          </c:val>
          <c:extLst>
            <c:ext xmlns:c16="http://schemas.microsoft.com/office/drawing/2014/chart" uri="{C3380CC4-5D6E-409C-BE32-E72D297353CC}">
              <c16:uniqueId val="{00000002-CAF3-449B-96F1-12D90B979613}"/>
            </c:ext>
          </c:extLst>
        </c:ser>
        <c:dLbls>
          <c:showLegendKey val="0"/>
          <c:showVal val="0"/>
          <c:showCatName val="0"/>
          <c:showSerName val="0"/>
          <c:showPercent val="0"/>
          <c:showBubbleSize val="0"/>
        </c:dLbls>
        <c:gapWidth val="219"/>
        <c:overlap val="-27"/>
        <c:axId val="193498383"/>
        <c:axId val="1542469839"/>
      </c:barChart>
      <c:catAx>
        <c:axId val="21327191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0089503"/>
        <c:crosses val="autoZero"/>
        <c:auto val="1"/>
        <c:lblAlgn val="ctr"/>
        <c:lblOffset val="100"/>
        <c:noMultiLvlLbl val="0"/>
      </c:catAx>
      <c:valAx>
        <c:axId val="940089503"/>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2132719167"/>
        <c:crosses val="autoZero"/>
        <c:crossBetween val="between"/>
      </c:valAx>
      <c:valAx>
        <c:axId val="1542469839"/>
        <c:scaling>
          <c:orientation val="minMax"/>
          <c:min val="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193498383"/>
        <c:crosses val="max"/>
        <c:crossBetween val="between"/>
      </c:valAx>
      <c:catAx>
        <c:axId val="193498383"/>
        <c:scaling>
          <c:orientation val="minMax"/>
        </c:scaling>
        <c:delete val="1"/>
        <c:axPos val="b"/>
        <c:numFmt formatCode="General" sourceLinked="1"/>
        <c:majorTickMark val="out"/>
        <c:minorTickMark val="none"/>
        <c:tickLblPos val="nextTo"/>
        <c:crossAx val="1542469839"/>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r>
              <a:rPr lang="en-US" sz="1600" b="0">
                <a:solidFill>
                  <a:schemeClr val="accent1">
                    <a:lumMod val="50000"/>
                  </a:schemeClr>
                </a:solidFill>
                <a:latin typeface="+mj-lt"/>
              </a:rPr>
              <a:t>Observed &amp; Assessed Modal Levels of Service</a:t>
            </a:r>
          </a:p>
        </c:rich>
      </c:tx>
      <c:layout>
        <c:manualLayout>
          <c:xMode val="edge"/>
          <c:yMode val="edge"/>
          <c:x val="0.10820383986928105"/>
          <c:y val="1.511641124494358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endParaRPr lang="en-US"/>
        </a:p>
      </c:txPr>
    </c:title>
    <c:autoTitleDeleted val="0"/>
    <c:plotArea>
      <c:layout>
        <c:manualLayout>
          <c:layoutTarget val="inner"/>
          <c:xMode val="edge"/>
          <c:yMode val="edge"/>
          <c:x val="9.1234191303367046E-2"/>
          <c:y val="0.21970751099592148"/>
          <c:w val="0.84965645729184658"/>
          <c:h val="0.60179677620151895"/>
        </c:manualLayout>
      </c:layout>
      <c:barChart>
        <c:barDir val="col"/>
        <c:grouping val="clustered"/>
        <c:varyColors val="0"/>
        <c:ser>
          <c:idx val="0"/>
          <c:order val="0"/>
          <c:tx>
            <c:strRef>
              <c:f>'Opt1_NOP Tool calcs'!$AE$12</c:f>
              <c:strCache>
                <c:ptCount val="1"/>
                <c:pt idx="0">
                  <c:v>Observed LoS Score</c:v>
                </c:pt>
              </c:strCache>
            </c:strRef>
          </c:tx>
          <c:spPr>
            <a:solidFill>
              <a:schemeClr val="accent1"/>
            </a:solidFill>
            <a:ln>
              <a:solidFill>
                <a:schemeClr val="bg1">
                  <a:lumMod val="75000"/>
                </a:schemeClr>
              </a:solidFill>
            </a:ln>
            <a:effectLst/>
          </c:spPr>
          <c:invertIfNegative val="0"/>
          <c:dPt>
            <c:idx val="0"/>
            <c:invertIfNegative val="0"/>
            <c:bubble3D val="0"/>
            <c:spPr>
              <a:solidFill>
                <a:srgbClr val="F1544F">
                  <a:alpha val="60000"/>
                </a:srgbClr>
              </a:solidFill>
              <a:ln>
                <a:solidFill>
                  <a:schemeClr val="bg1">
                    <a:lumMod val="75000"/>
                  </a:schemeClr>
                </a:solidFill>
              </a:ln>
              <a:effectLst/>
            </c:spPr>
            <c:extLst>
              <c:ext xmlns:c16="http://schemas.microsoft.com/office/drawing/2014/chart" uri="{C3380CC4-5D6E-409C-BE32-E72D297353CC}">
                <c16:uniqueId val="{00000001-09DE-4B35-BF6B-72D2E282BB98}"/>
              </c:ext>
            </c:extLst>
          </c:dPt>
          <c:dPt>
            <c:idx val="1"/>
            <c:invertIfNegative val="0"/>
            <c:bubble3D val="0"/>
            <c:spPr>
              <a:solidFill>
                <a:schemeClr val="accent6">
                  <a:lumMod val="75000"/>
                  <a:alpha val="67000"/>
                </a:schemeClr>
              </a:solidFill>
              <a:ln>
                <a:solidFill>
                  <a:schemeClr val="bg1">
                    <a:lumMod val="75000"/>
                  </a:schemeClr>
                </a:solidFill>
              </a:ln>
              <a:effectLst/>
            </c:spPr>
            <c:extLst>
              <c:ext xmlns:c16="http://schemas.microsoft.com/office/drawing/2014/chart" uri="{C3380CC4-5D6E-409C-BE32-E72D297353CC}">
                <c16:uniqueId val="{00000003-09DE-4B35-BF6B-72D2E282BB98}"/>
              </c:ext>
            </c:extLst>
          </c:dPt>
          <c:dPt>
            <c:idx val="2"/>
            <c:invertIfNegative val="0"/>
            <c:bubble3D val="0"/>
            <c:spPr>
              <a:solidFill>
                <a:schemeClr val="accent1">
                  <a:alpha val="61000"/>
                </a:schemeClr>
              </a:solidFill>
              <a:ln>
                <a:solidFill>
                  <a:schemeClr val="bg1">
                    <a:lumMod val="75000"/>
                  </a:schemeClr>
                </a:solidFill>
              </a:ln>
              <a:effectLst/>
            </c:spPr>
            <c:extLst>
              <c:ext xmlns:c16="http://schemas.microsoft.com/office/drawing/2014/chart" uri="{C3380CC4-5D6E-409C-BE32-E72D297353CC}">
                <c16:uniqueId val="{00000005-09DE-4B35-BF6B-72D2E282BB98}"/>
              </c:ext>
            </c:extLst>
          </c:dPt>
          <c:dPt>
            <c:idx val="3"/>
            <c:invertIfNegative val="0"/>
            <c:bubble3D val="0"/>
            <c:spPr>
              <a:solidFill>
                <a:srgbClr val="C25614">
                  <a:alpha val="49804"/>
                </a:srgbClr>
              </a:solidFill>
              <a:ln>
                <a:solidFill>
                  <a:schemeClr val="bg1">
                    <a:lumMod val="75000"/>
                  </a:schemeClr>
                </a:solidFill>
              </a:ln>
              <a:effectLst/>
            </c:spPr>
            <c:extLst>
              <c:ext xmlns:c16="http://schemas.microsoft.com/office/drawing/2014/chart" uri="{C3380CC4-5D6E-409C-BE32-E72D297353CC}">
                <c16:uniqueId val="{00000007-09DE-4B35-BF6B-72D2E282BB98}"/>
              </c:ext>
            </c:extLst>
          </c:dPt>
          <c:dPt>
            <c:idx val="4"/>
            <c:invertIfNegative val="0"/>
            <c:bubble3D val="0"/>
            <c:spPr>
              <a:solidFill>
                <a:srgbClr val="8D42C6">
                  <a:alpha val="66667"/>
                </a:srgbClr>
              </a:solidFill>
              <a:ln>
                <a:solidFill>
                  <a:schemeClr val="bg1">
                    <a:lumMod val="75000"/>
                  </a:schemeClr>
                </a:solidFill>
              </a:ln>
              <a:effectLst/>
            </c:spPr>
            <c:extLst>
              <c:ext xmlns:c16="http://schemas.microsoft.com/office/drawing/2014/chart" uri="{C3380CC4-5D6E-409C-BE32-E72D297353CC}">
                <c16:uniqueId val="{00000009-09DE-4B35-BF6B-72D2E282BB98}"/>
              </c:ext>
            </c:extLst>
          </c:dPt>
          <c:errBars>
            <c:errBarType val="both"/>
            <c:errValType val="cust"/>
            <c:noEndCap val="1"/>
            <c:plus>
              <c:numRef>
                <c:f>'Opt1_NOP Tool calcs'!$AP$23:$AP$29</c:f>
                <c:numCache>
                  <c:formatCode>General</c:formatCode>
                  <c:ptCount val="7"/>
                  <c:pt idx="0">
                    <c:v>0</c:v>
                  </c:pt>
                  <c:pt idx="1">
                    <c:v>0</c:v>
                  </c:pt>
                  <c:pt idx="2">
                    <c:v>1</c:v>
                  </c:pt>
                  <c:pt idx="3">
                    <c:v>0</c:v>
                  </c:pt>
                  <c:pt idx="4">
                    <c:v>0</c:v>
                  </c:pt>
                  <c:pt idx="5">
                    <c:v>0</c:v>
                  </c:pt>
                  <c:pt idx="6">
                    <c:v>0</c:v>
                  </c:pt>
                </c:numCache>
              </c:numRef>
            </c:plus>
            <c:minus>
              <c:numRef>
                <c:f>'Opt1_NOP Tool calcs'!$AO$23:$AO$29</c:f>
                <c:numCache>
                  <c:formatCode>General</c:formatCode>
                  <c:ptCount val="7"/>
                  <c:pt idx="0">
                    <c:v>0</c:v>
                  </c:pt>
                  <c:pt idx="1">
                    <c:v>0</c:v>
                  </c:pt>
                  <c:pt idx="2">
                    <c:v>0</c:v>
                  </c:pt>
                  <c:pt idx="3">
                    <c:v>0</c:v>
                  </c:pt>
                  <c:pt idx="4">
                    <c:v>2</c:v>
                  </c:pt>
                  <c:pt idx="5">
                    <c:v>0</c:v>
                  </c:pt>
                  <c:pt idx="6">
                    <c:v>0</c:v>
                  </c:pt>
                </c:numCache>
              </c:numRef>
            </c:minus>
            <c:spPr>
              <a:noFill/>
              <a:ln w="60325" cap="flat" cmpd="sng" algn="ctr">
                <a:solidFill>
                  <a:schemeClr val="accent1"/>
                </a:solidFill>
                <a:prstDash val="solid"/>
                <a:round/>
                <a:headEnd type="none"/>
                <a:tailEnd type="arrow" w="med" len="med"/>
              </a:ln>
              <a:effectLst>
                <a:outerShdw blurRad="50800" dist="38100" dir="2700000" algn="tl" rotWithShape="0">
                  <a:prstClr val="black">
                    <a:alpha val="40000"/>
                  </a:prstClr>
                </a:outerShdw>
              </a:effectLst>
            </c:spPr>
          </c:errBars>
          <c:cat>
            <c:strRef>
              <c:f>'Opt1_NOP Tool calcs'!$AA$4:$AA$8</c:f>
              <c:strCache>
                <c:ptCount val="5"/>
                <c:pt idx="0">
                  <c:v>Walk</c:v>
                </c:pt>
                <c:pt idx="1">
                  <c:v>Cycle</c:v>
                </c:pt>
                <c:pt idx="2">
                  <c:v>PT</c:v>
                </c:pt>
                <c:pt idx="3">
                  <c:v>Freight</c:v>
                </c:pt>
                <c:pt idx="4">
                  <c:v>Gnrl Trfc</c:v>
                </c:pt>
              </c:strCache>
            </c:strRef>
          </c:cat>
          <c:val>
            <c:numRef>
              <c:f>'Opt1_NOP Tool calcs'!$AE$13:$AE$17</c:f>
              <c:numCache>
                <c:formatCode>General</c:formatCode>
                <c:ptCount val="5"/>
                <c:pt idx="0">
                  <c:v>3</c:v>
                </c:pt>
                <c:pt idx="1">
                  <c:v>4</c:v>
                </c:pt>
                <c:pt idx="2">
                  <c:v>2</c:v>
                </c:pt>
                <c:pt idx="3">
                  <c:v>4</c:v>
                </c:pt>
                <c:pt idx="4">
                  <c:v>3</c:v>
                </c:pt>
              </c:numCache>
            </c:numRef>
          </c:val>
          <c:extLst>
            <c:ext xmlns:c16="http://schemas.microsoft.com/office/drawing/2014/chart" uri="{C3380CC4-5D6E-409C-BE32-E72D297353CC}">
              <c16:uniqueId val="{0000000A-09DE-4B35-BF6B-72D2E282BB98}"/>
            </c:ext>
          </c:extLst>
        </c:ser>
        <c:dLbls>
          <c:showLegendKey val="0"/>
          <c:showVal val="0"/>
          <c:showCatName val="0"/>
          <c:showSerName val="0"/>
          <c:showPercent val="0"/>
          <c:showBubbleSize val="0"/>
        </c:dLbls>
        <c:gapWidth val="0"/>
        <c:overlap val="-25"/>
        <c:axId val="1910663984"/>
        <c:axId val="1910664400"/>
      </c:barChart>
      <c:barChart>
        <c:barDir val="col"/>
        <c:grouping val="clustered"/>
        <c:varyColors val="0"/>
        <c:ser>
          <c:idx val="1"/>
          <c:order val="1"/>
          <c:tx>
            <c:strRef>
              <c:f>'Opt1_NOP Tool calcs'!$AB$12</c:f>
              <c:strCache>
                <c:ptCount val="1"/>
                <c:pt idx="0">
                  <c:v>Acceptable Target LoS (base)</c:v>
                </c:pt>
              </c:strCache>
            </c:strRef>
          </c:tx>
          <c:spPr>
            <a:solidFill>
              <a:schemeClr val="accent2"/>
            </a:solidFill>
            <a:ln>
              <a:noFill/>
            </a:ln>
            <a:effectLst/>
          </c:spPr>
          <c:invertIfNegative val="0"/>
          <c:dPt>
            <c:idx val="0"/>
            <c:invertIfNegative val="0"/>
            <c:bubble3D val="0"/>
            <c:spPr>
              <a:noFill/>
              <a:ln w="41275" cap="flat">
                <a:solidFill>
                  <a:srgbClr val="EC1914">
                    <a:alpha val="94902"/>
                  </a:srgbClr>
                </a:solidFill>
                <a:prstDash val="sysDot"/>
                <a:bevel/>
              </a:ln>
              <a:effectLst/>
            </c:spPr>
            <c:extLst>
              <c:ext xmlns:c16="http://schemas.microsoft.com/office/drawing/2014/chart" uri="{C3380CC4-5D6E-409C-BE32-E72D297353CC}">
                <c16:uniqueId val="{0000000C-09DE-4B35-BF6B-72D2E282BB98}"/>
              </c:ext>
            </c:extLst>
          </c:dPt>
          <c:dPt>
            <c:idx val="1"/>
            <c:invertIfNegative val="0"/>
            <c:bubble3D val="0"/>
            <c:spPr>
              <a:noFill/>
              <a:ln w="41275" cap="flat">
                <a:solidFill>
                  <a:schemeClr val="accent6">
                    <a:lumMod val="50000"/>
                  </a:schemeClr>
                </a:solidFill>
                <a:prstDash val="sysDot"/>
                <a:bevel/>
              </a:ln>
              <a:effectLst/>
            </c:spPr>
            <c:extLst>
              <c:ext xmlns:c16="http://schemas.microsoft.com/office/drawing/2014/chart" uri="{C3380CC4-5D6E-409C-BE32-E72D297353CC}">
                <c16:uniqueId val="{0000000E-09DE-4B35-BF6B-72D2E282BB98}"/>
              </c:ext>
            </c:extLst>
          </c:dPt>
          <c:dPt>
            <c:idx val="2"/>
            <c:invertIfNegative val="0"/>
            <c:bubble3D val="0"/>
            <c:spPr>
              <a:noFill/>
              <a:ln w="41275" cap="flat">
                <a:solidFill>
                  <a:srgbClr val="0070C0"/>
                </a:solidFill>
                <a:prstDash val="sysDot"/>
                <a:bevel/>
              </a:ln>
              <a:effectLst/>
            </c:spPr>
            <c:extLst>
              <c:ext xmlns:c16="http://schemas.microsoft.com/office/drawing/2014/chart" uri="{C3380CC4-5D6E-409C-BE32-E72D297353CC}">
                <c16:uniqueId val="{00000010-09DE-4B35-BF6B-72D2E282BB98}"/>
              </c:ext>
            </c:extLst>
          </c:dPt>
          <c:dPt>
            <c:idx val="3"/>
            <c:invertIfNegative val="0"/>
            <c:bubble3D val="0"/>
            <c:spPr>
              <a:noFill/>
              <a:ln w="41275" cap="flat">
                <a:solidFill>
                  <a:schemeClr val="accent2">
                    <a:lumMod val="50000"/>
                  </a:schemeClr>
                </a:solidFill>
                <a:prstDash val="sysDot"/>
                <a:bevel/>
              </a:ln>
              <a:effectLst/>
            </c:spPr>
            <c:extLst>
              <c:ext xmlns:c16="http://schemas.microsoft.com/office/drawing/2014/chart" uri="{C3380CC4-5D6E-409C-BE32-E72D297353CC}">
                <c16:uniqueId val="{00000012-09DE-4B35-BF6B-72D2E282BB98}"/>
              </c:ext>
            </c:extLst>
          </c:dPt>
          <c:dPt>
            <c:idx val="4"/>
            <c:invertIfNegative val="0"/>
            <c:bubble3D val="0"/>
            <c:spPr>
              <a:noFill/>
              <a:ln w="41275" cap="flat">
                <a:solidFill>
                  <a:srgbClr val="7030A0"/>
                </a:solidFill>
                <a:prstDash val="sysDot"/>
                <a:bevel/>
              </a:ln>
              <a:effectLst/>
            </c:spPr>
            <c:extLst>
              <c:ext xmlns:c16="http://schemas.microsoft.com/office/drawing/2014/chart" uri="{C3380CC4-5D6E-409C-BE32-E72D297353CC}">
                <c16:uniqueId val="{00000014-09DE-4B35-BF6B-72D2E282BB98}"/>
              </c:ext>
            </c:extLst>
          </c:dPt>
          <c:cat>
            <c:strRef>
              <c:f>'Opt1_NOP Tool calcs'!$AA$4:$AA$8</c:f>
              <c:strCache>
                <c:ptCount val="5"/>
                <c:pt idx="0">
                  <c:v>Walk</c:v>
                </c:pt>
                <c:pt idx="1">
                  <c:v>Cycle</c:v>
                </c:pt>
                <c:pt idx="2">
                  <c:v>PT</c:v>
                </c:pt>
                <c:pt idx="3">
                  <c:v>Freight</c:v>
                </c:pt>
                <c:pt idx="4">
                  <c:v>Gnrl Trfc</c:v>
                </c:pt>
              </c:strCache>
            </c:strRef>
          </c:cat>
          <c:val>
            <c:numRef>
              <c:f>'Opt1_NOP Tool calcs'!$AD$13:$AD$17</c:f>
              <c:numCache>
                <c:formatCode>General</c:formatCode>
                <c:ptCount val="5"/>
                <c:pt idx="0">
                  <c:v>4</c:v>
                </c:pt>
                <c:pt idx="1">
                  <c:v>4</c:v>
                </c:pt>
                <c:pt idx="2">
                  <c:v>4</c:v>
                </c:pt>
                <c:pt idx="3">
                  <c:v>4</c:v>
                </c:pt>
                <c:pt idx="4">
                  <c:v>4</c:v>
                </c:pt>
              </c:numCache>
            </c:numRef>
          </c:val>
          <c:extLst>
            <c:ext xmlns:c16="http://schemas.microsoft.com/office/drawing/2014/chart" uri="{C3380CC4-5D6E-409C-BE32-E72D297353CC}">
              <c16:uniqueId val="{00000015-09DE-4B35-BF6B-72D2E282BB98}"/>
            </c:ext>
          </c:extLst>
        </c:ser>
        <c:dLbls>
          <c:showLegendKey val="0"/>
          <c:showVal val="0"/>
          <c:showCatName val="0"/>
          <c:showSerName val="0"/>
          <c:showPercent val="0"/>
          <c:showBubbleSize val="0"/>
        </c:dLbls>
        <c:gapWidth val="7"/>
        <c:overlap val="-25"/>
        <c:axId val="790436240"/>
        <c:axId val="790447472"/>
      </c:barChart>
      <c:lineChart>
        <c:grouping val="stacked"/>
        <c:varyColors val="0"/>
        <c:ser>
          <c:idx val="2"/>
          <c:order val="2"/>
          <c:tx>
            <c:strRef>
              <c:f>'Opt1_NOP Tool calcs'!$AG$12</c:f>
              <c:strCache>
                <c:ptCount val="1"/>
                <c:pt idx="0">
                  <c:v>Assessed LoS Score</c:v>
                </c:pt>
              </c:strCache>
            </c:strRef>
          </c:tx>
          <c:spPr>
            <a:ln w="25400" cap="rnd">
              <a:noFill/>
              <a:round/>
            </a:ln>
            <a:effectLst/>
          </c:spPr>
          <c:marker>
            <c:symbol val="dash"/>
            <c:size val="33"/>
            <c:spPr>
              <a:gradFill>
                <a:gsLst>
                  <a:gs pos="0">
                    <a:schemeClr val="accent1">
                      <a:lumMod val="5000"/>
                      <a:lumOff val="95000"/>
                      <a:alpha val="0"/>
                    </a:schemeClr>
                  </a:gs>
                  <a:gs pos="90000">
                    <a:schemeClr val="bg1">
                      <a:alpha val="0"/>
                    </a:schemeClr>
                  </a:gs>
                  <a:gs pos="10000">
                    <a:schemeClr val="bg1">
                      <a:alpha val="0"/>
                    </a:schemeClr>
                  </a:gs>
                  <a:gs pos="50000">
                    <a:schemeClr val="accent5">
                      <a:lumMod val="75000"/>
                    </a:schemeClr>
                  </a:gs>
                  <a:gs pos="100000">
                    <a:schemeClr val="bg1">
                      <a:alpha val="0"/>
                    </a:schemeClr>
                  </a:gs>
                </a:gsLst>
                <a:lin ang="5400000" scaled="1"/>
              </a:gradFill>
              <a:ln w="9525">
                <a:noFill/>
              </a:ln>
              <a:effectLst/>
            </c:spPr>
          </c:marker>
          <c:cat>
            <c:strRef>
              <c:f>'Opt1_NOP Tool calcs'!$AA$4:$AA$8</c:f>
              <c:strCache>
                <c:ptCount val="5"/>
                <c:pt idx="0">
                  <c:v>Walk</c:v>
                </c:pt>
                <c:pt idx="1">
                  <c:v>Cycle</c:v>
                </c:pt>
                <c:pt idx="2">
                  <c:v>PT</c:v>
                </c:pt>
                <c:pt idx="3">
                  <c:v>Freight</c:v>
                </c:pt>
                <c:pt idx="4">
                  <c:v>Gnrl Trfc</c:v>
                </c:pt>
              </c:strCache>
            </c:strRef>
          </c:cat>
          <c:val>
            <c:numRef>
              <c:f>'Opt1_NOP Tool calcs'!$AG$13:$AG$17</c:f>
              <c:numCache>
                <c:formatCode>General</c:formatCode>
                <c:ptCount val="5"/>
                <c:pt idx="0">
                  <c:v>3</c:v>
                </c:pt>
                <c:pt idx="1">
                  <c:v>4</c:v>
                </c:pt>
                <c:pt idx="2">
                  <c:v>3</c:v>
                </c:pt>
                <c:pt idx="3">
                  <c:v>4</c:v>
                </c:pt>
                <c:pt idx="4">
                  <c:v>1</c:v>
                </c:pt>
              </c:numCache>
            </c:numRef>
          </c:val>
          <c:smooth val="0"/>
          <c:extLst>
            <c:ext xmlns:c16="http://schemas.microsoft.com/office/drawing/2014/chart" uri="{C3380CC4-5D6E-409C-BE32-E72D297353CC}">
              <c16:uniqueId val="{00000016-09DE-4B35-BF6B-72D2E282BB98}"/>
            </c:ext>
          </c:extLst>
        </c:ser>
        <c:dLbls>
          <c:showLegendKey val="0"/>
          <c:showVal val="0"/>
          <c:showCatName val="0"/>
          <c:showSerName val="0"/>
          <c:showPercent val="0"/>
          <c:showBubbleSize val="0"/>
        </c:dLbls>
        <c:marker val="1"/>
        <c:smooth val="0"/>
        <c:axId val="790436240"/>
        <c:axId val="790447472"/>
      </c:lineChart>
      <c:catAx>
        <c:axId val="19106639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bg1"/>
                </a:solidFill>
                <a:latin typeface="+mn-lt"/>
                <a:ea typeface="+mn-ea"/>
                <a:cs typeface="+mn-cs"/>
              </a:defRPr>
            </a:pPr>
            <a:endParaRPr lang="en-US"/>
          </a:p>
        </c:txPr>
        <c:crossAx val="1910664400"/>
        <c:crosses val="autoZero"/>
        <c:auto val="1"/>
        <c:lblAlgn val="ctr"/>
        <c:lblOffset val="100"/>
        <c:noMultiLvlLbl val="0"/>
      </c:catAx>
      <c:valAx>
        <c:axId val="1910664400"/>
        <c:scaling>
          <c:orientation val="minMax"/>
          <c:max val="7"/>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910663984"/>
        <c:crosses val="autoZero"/>
        <c:crossBetween val="between"/>
      </c:valAx>
      <c:valAx>
        <c:axId val="790447472"/>
        <c:scaling>
          <c:orientation val="minMax"/>
          <c:max val="7"/>
        </c:scaling>
        <c:delete val="1"/>
        <c:axPos val="r"/>
        <c:numFmt formatCode="General" sourceLinked="1"/>
        <c:majorTickMark val="out"/>
        <c:minorTickMark val="none"/>
        <c:tickLblPos val="nextTo"/>
        <c:crossAx val="790436240"/>
        <c:crosses val="max"/>
        <c:crossBetween val="between"/>
      </c:valAx>
      <c:catAx>
        <c:axId val="790436240"/>
        <c:scaling>
          <c:orientation val="minMax"/>
        </c:scaling>
        <c:delete val="1"/>
        <c:axPos val="b"/>
        <c:numFmt formatCode="General" sourceLinked="1"/>
        <c:majorTickMark val="out"/>
        <c:minorTickMark val="none"/>
        <c:tickLblPos val="nextTo"/>
        <c:crossAx val="790447472"/>
        <c:crosses val="autoZero"/>
        <c:auto val="1"/>
        <c:lblAlgn val="ctr"/>
        <c:lblOffset val="100"/>
        <c:noMultiLvlLbl val="0"/>
      </c:catAx>
      <c:spPr>
        <a:solidFill>
          <a:schemeClr val="bg1">
            <a:lumMod val="95000"/>
          </a:schemeClr>
        </a:solidFill>
        <a:ln>
          <a:solidFill>
            <a:schemeClr val="bg1">
              <a:lumMod val="75000"/>
            </a:schemeClr>
          </a:solidFill>
          <a:round/>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r>
              <a:rPr lang="en-US" sz="1600" b="0">
                <a:solidFill>
                  <a:schemeClr val="accent1">
                    <a:lumMod val="50000"/>
                  </a:schemeClr>
                </a:solidFill>
                <a:latin typeface="+mj-lt"/>
              </a:rPr>
              <a:t>Observed &amp; Assessed Modal Levels of Service</a:t>
            </a:r>
          </a:p>
        </c:rich>
      </c:tx>
      <c:layout>
        <c:manualLayout>
          <c:xMode val="edge"/>
          <c:yMode val="edge"/>
          <c:x val="0.10820383986928105"/>
          <c:y val="1.511641124494358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endParaRPr lang="en-US"/>
        </a:p>
      </c:txPr>
    </c:title>
    <c:autoTitleDeleted val="0"/>
    <c:plotArea>
      <c:layout>
        <c:manualLayout>
          <c:layoutTarget val="inner"/>
          <c:xMode val="edge"/>
          <c:yMode val="edge"/>
          <c:x val="9.1234191303367046E-2"/>
          <c:y val="0.21970751099592148"/>
          <c:w val="0.84965645729184658"/>
          <c:h val="0.60179677620151895"/>
        </c:manualLayout>
      </c:layout>
      <c:barChart>
        <c:barDir val="col"/>
        <c:grouping val="clustered"/>
        <c:varyColors val="0"/>
        <c:ser>
          <c:idx val="0"/>
          <c:order val="0"/>
          <c:tx>
            <c:strRef>
              <c:f>'Opt1_NOP Tool calcs'!$AE$12</c:f>
              <c:strCache>
                <c:ptCount val="1"/>
                <c:pt idx="0">
                  <c:v>Observed LoS Score</c:v>
                </c:pt>
              </c:strCache>
            </c:strRef>
          </c:tx>
          <c:spPr>
            <a:solidFill>
              <a:schemeClr val="accent1"/>
            </a:solidFill>
            <a:ln>
              <a:solidFill>
                <a:schemeClr val="bg1">
                  <a:lumMod val="75000"/>
                </a:schemeClr>
              </a:solidFill>
            </a:ln>
            <a:effectLst/>
          </c:spPr>
          <c:invertIfNegative val="0"/>
          <c:dPt>
            <c:idx val="0"/>
            <c:invertIfNegative val="0"/>
            <c:bubble3D val="0"/>
            <c:spPr>
              <a:solidFill>
                <a:srgbClr val="F1544F">
                  <a:alpha val="60000"/>
                </a:srgbClr>
              </a:solidFill>
              <a:ln>
                <a:solidFill>
                  <a:schemeClr val="bg1">
                    <a:lumMod val="75000"/>
                  </a:schemeClr>
                </a:solidFill>
              </a:ln>
              <a:effectLst/>
            </c:spPr>
            <c:extLst>
              <c:ext xmlns:c16="http://schemas.microsoft.com/office/drawing/2014/chart" uri="{C3380CC4-5D6E-409C-BE32-E72D297353CC}">
                <c16:uniqueId val="{00000001-B8CD-4503-97A2-DE37A3DFFDA1}"/>
              </c:ext>
            </c:extLst>
          </c:dPt>
          <c:dPt>
            <c:idx val="1"/>
            <c:invertIfNegative val="0"/>
            <c:bubble3D val="0"/>
            <c:spPr>
              <a:solidFill>
                <a:schemeClr val="accent6">
                  <a:lumMod val="75000"/>
                  <a:alpha val="67000"/>
                </a:schemeClr>
              </a:solidFill>
              <a:ln>
                <a:solidFill>
                  <a:schemeClr val="bg1">
                    <a:lumMod val="75000"/>
                  </a:schemeClr>
                </a:solidFill>
              </a:ln>
              <a:effectLst/>
            </c:spPr>
            <c:extLst>
              <c:ext xmlns:c16="http://schemas.microsoft.com/office/drawing/2014/chart" uri="{C3380CC4-5D6E-409C-BE32-E72D297353CC}">
                <c16:uniqueId val="{00000003-B8CD-4503-97A2-DE37A3DFFDA1}"/>
              </c:ext>
            </c:extLst>
          </c:dPt>
          <c:dPt>
            <c:idx val="2"/>
            <c:invertIfNegative val="0"/>
            <c:bubble3D val="0"/>
            <c:spPr>
              <a:solidFill>
                <a:schemeClr val="accent1">
                  <a:alpha val="61000"/>
                </a:schemeClr>
              </a:solidFill>
              <a:ln>
                <a:solidFill>
                  <a:schemeClr val="bg1">
                    <a:lumMod val="75000"/>
                  </a:schemeClr>
                </a:solidFill>
              </a:ln>
              <a:effectLst/>
            </c:spPr>
            <c:extLst>
              <c:ext xmlns:c16="http://schemas.microsoft.com/office/drawing/2014/chart" uri="{C3380CC4-5D6E-409C-BE32-E72D297353CC}">
                <c16:uniqueId val="{00000005-B8CD-4503-97A2-DE37A3DFFDA1}"/>
              </c:ext>
            </c:extLst>
          </c:dPt>
          <c:dPt>
            <c:idx val="3"/>
            <c:invertIfNegative val="0"/>
            <c:bubble3D val="0"/>
            <c:spPr>
              <a:solidFill>
                <a:srgbClr val="C25614">
                  <a:alpha val="49804"/>
                </a:srgbClr>
              </a:solidFill>
              <a:ln>
                <a:solidFill>
                  <a:schemeClr val="bg1">
                    <a:lumMod val="75000"/>
                  </a:schemeClr>
                </a:solidFill>
              </a:ln>
              <a:effectLst/>
            </c:spPr>
            <c:extLst>
              <c:ext xmlns:c16="http://schemas.microsoft.com/office/drawing/2014/chart" uri="{C3380CC4-5D6E-409C-BE32-E72D297353CC}">
                <c16:uniqueId val="{00000007-B8CD-4503-97A2-DE37A3DFFDA1}"/>
              </c:ext>
            </c:extLst>
          </c:dPt>
          <c:dPt>
            <c:idx val="4"/>
            <c:invertIfNegative val="0"/>
            <c:bubble3D val="0"/>
            <c:spPr>
              <a:solidFill>
                <a:srgbClr val="8D42C6">
                  <a:alpha val="66667"/>
                </a:srgbClr>
              </a:solidFill>
              <a:ln>
                <a:solidFill>
                  <a:schemeClr val="bg1">
                    <a:lumMod val="75000"/>
                  </a:schemeClr>
                </a:solidFill>
              </a:ln>
              <a:effectLst/>
            </c:spPr>
            <c:extLst>
              <c:ext xmlns:c16="http://schemas.microsoft.com/office/drawing/2014/chart" uri="{C3380CC4-5D6E-409C-BE32-E72D297353CC}">
                <c16:uniqueId val="{00000009-B8CD-4503-97A2-DE37A3DFFDA1}"/>
              </c:ext>
            </c:extLst>
          </c:dPt>
          <c:errBars>
            <c:errBarType val="both"/>
            <c:errValType val="cust"/>
            <c:noEndCap val="1"/>
            <c:plus>
              <c:numRef>
                <c:f>'Opt2_NOP Tool calcs'!$AP$23:$AP$29</c:f>
                <c:numCache>
                  <c:formatCode>General</c:formatCode>
                  <c:ptCount val="7"/>
                  <c:pt idx="0">
                    <c:v>0</c:v>
                  </c:pt>
                  <c:pt idx="1">
                    <c:v>0</c:v>
                  </c:pt>
                  <c:pt idx="2">
                    <c:v>0</c:v>
                  </c:pt>
                  <c:pt idx="3">
                    <c:v>0</c:v>
                  </c:pt>
                  <c:pt idx="4">
                    <c:v>0</c:v>
                  </c:pt>
                  <c:pt idx="5">
                    <c:v>0</c:v>
                  </c:pt>
                  <c:pt idx="6">
                    <c:v>0</c:v>
                  </c:pt>
                </c:numCache>
              </c:numRef>
            </c:plus>
            <c:minus>
              <c:numRef>
                <c:f>'Opt2_NOP Tool calcs'!$AO$23:$AO$29</c:f>
                <c:numCache>
                  <c:formatCode>General</c:formatCode>
                  <c:ptCount val="7"/>
                  <c:pt idx="0">
                    <c:v>0</c:v>
                  </c:pt>
                  <c:pt idx="1">
                    <c:v>0</c:v>
                  </c:pt>
                  <c:pt idx="2">
                    <c:v>1</c:v>
                  </c:pt>
                  <c:pt idx="3">
                    <c:v>3</c:v>
                  </c:pt>
                  <c:pt idx="4">
                    <c:v>2</c:v>
                  </c:pt>
                  <c:pt idx="5">
                    <c:v>0</c:v>
                  </c:pt>
                  <c:pt idx="6">
                    <c:v>0</c:v>
                  </c:pt>
                </c:numCache>
              </c:numRef>
            </c:minus>
            <c:spPr>
              <a:noFill/>
              <a:ln w="60325" cap="flat" cmpd="sng" algn="ctr">
                <a:solidFill>
                  <a:schemeClr val="accent1"/>
                </a:solidFill>
                <a:prstDash val="solid"/>
                <a:round/>
                <a:headEnd type="none"/>
                <a:tailEnd type="arrow" w="med" len="med"/>
              </a:ln>
              <a:effectLst>
                <a:outerShdw blurRad="50800" dist="38100" dir="2700000" algn="tl" rotWithShape="0">
                  <a:prstClr val="black">
                    <a:alpha val="40000"/>
                  </a:prstClr>
                </a:outerShdw>
              </a:effectLst>
            </c:spPr>
          </c:errBars>
          <c:cat>
            <c:strRef>
              <c:f>'Opt1_NOP Tool calcs'!$AA$4:$AA$8</c:f>
              <c:strCache>
                <c:ptCount val="5"/>
                <c:pt idx="0">
                  <c:v>Walk</c:v>
                </c:pt>
                <c:pt idx="1">
                  <c:v>Cycle</c:v>
                </c:pt>
                <c:pt idx="2">
                  <c:v>PT</c:v>
                </c:pt>
                <c:pt idx="3">
                  <c:v>Freight</c:v>
                </c:pt>
                <c:pt idx="4">
                  <c:v>Gnrl Trfc</c:v>
                </c:pt>
              </c:strCache>
            </c:strRef>
          </c:cat>
          <c:val>
            <c:numRef>
              <c:f>'Opt1_NOP Tool calcs'!$AE$13:$AE$17</c:f>
              <c:numCache>
                <c:formatCode>General</c:formatCode>
                <c:ptCount val="5"/>
                <c:pt idx="0">
                  <c:v>3</c:v>
                </c:pt>
                <c:pt idx="1">
                  <c:v>4</c:v>
                </c:pt>
                <c:pt idx="2">
                  <c:v>2</c:v>
                </c:pt>
                <c:pt idx="3">
                  <c:v>4</c:v>
                </c:pt>
                <c:pt idx="4">
                  <c:v>3</c:v>
                </c:pt>
              </c:numCache>
            </c:numRef>
          </c:val>
          <c:extLst>
            <c:ext xmlns:c16="http://schemas.microsoft.com/office/drawing/2014/chart" uri="{C3380CC4-5D6E-409C-BE32-E72D297353CC}">
              <c16:uniqueId val="{0000000A-B8CD-4503-97A2-DE37A3DFFDA1}"/>
            </c:ext>
          </c:extLst>
        </c:ser>
        <c:dLbls>
          <c:showLegendKey val="0"/>
          <c:showVal val="0"/>
          <c:showCatName val="0"/>
          <c:showSerName val="0"/>
          <c:showPercent val="0"/>
          <c:showBubbleSize val="0"/>
        </c:dLbls>
        <c:gapWidth val="0"/>
        <c:overlap val="-25"/>
        <c:axId val="1910663984"/>
        <c:axId val="1910664400"/>
      </c:barChart>
      <c:barChart>
        <c:barDir val="col"/>
        <c:grouping val="clustered"/>
        <c:varyColors val="0"/>
        <c:ser>
          <c:idx val="1"/>
          <c:order val="1"/>
          <c:tx>
            <c:strRef>
              <c:f>'Opt1_NOP Tool calcs'!$AB$12</c:f>
              <c:strCache>
                <c:ptCount val="1"/>
                <c:pt idx="0">
                  <c:v>Acceptable Target LoS (base)</c:v>
                </c:pt>
              </c:strCache>
            </c:strRef>
          </c:tx>
          <c:spPr>
            <a:solidFill>
              <a:schemeClr val="accent2"/>
            </a:solidFill>
            <a:ln>
              <a:noFill/>
            </a:ln>
            <a:effectLst/>
          </c:spPr>
          <c:invertIfNegative val="0"/>
          <c:dPt>
            <c:idx val="0"/>
            <c:invertIfNegative val="0"/>
            <c:bubble3D val="0"/>
            <c:spPr>
              <a:noFill/>
              <a:ln w="41275" cap="flat">
                <a:solidFill>
                  <a:srgbClr val="EC1914">
                    <a:alpha val="94902"/>
                  </a:srgbClr>
                </a:solidFill>
                <a:prstDash val="sysDot"/>
                <a:bevel/>
              </a:ln>
              <a:effectLst/>
            </c:spPr>
            <c:extLst>
              <c:ext xmlns:c16="http://schemas.microsoft.com/office/drawing/2014/chart" uri="{C3380CC4-5D6E-409C-BE32-E72D297353CC}">
                <c16:uniqueId val="{0000000C-B8CD-4503-97A2-DE37A3DFFDA1}"/>
              </c:ext>
            </c:extLst>
          </c:dPt>
          <c:dPt>
            <c:idx val="1"/>
            <c:invertIfNegative val="0"/>
            <c:bubble3D val="0"/>
            <c:spPr>
              <a:noFill/>
              <a:ln w="41275" cap="flat">
                <a:solidFill>
                  <a:schemeClr val="accent6">
                    <a:lumMod val="50000"/>
                  </a:schemeClr>
                </a:solidFill>
                <a:prstDash val="sysDot"/>
                <a:bevel/>
              </a:ln>
              <a:effectLst/>
            </c:spPr>
            <c:extLst>
              <c:ext xmlns:c16="http://schemas.microsoft.com/office/drawing/2014/chart" uri="{C3380CC4-5D6E-409C-BE32-E72D297353CC}">
                <c16:uniqueId val="{0000000E-B8CD-4503-97A2-DE37A3DFFDA1}"/>
              </c:ext>
            </c:extLst>
          </c:dPt>
          <c:dPt>
            <c:idx val="2"/>
            <c:invertIfNegative val="0"/>
            <c:bubble3D val="0"/>
            <c:spPr>
              <a:noFill/>
              <a:ln w="41275" cap="flat">
                <a:solidFill>
                  <a:srgbClr val="0070C0"/>
                </a:solidFill>
                <a:prstDash val="sysDot"/>
                <a:bevel/>
              </a:ln>
              <a:effectLst/>
            </c:spPr>
            <c:extLst>
              <c:ext xmlns:c16="http://schemas.microsoft.com/office/drawing/2014/chart" uri="{C3380CC4-5D6E-409C-BE32-E72D297353CC}">
                <c16:uniqueId val="{00000010-B8CD-4503-97A2-DE37A3DFFDA1}"/>
              </c:ext>
            </c:extLst>
          </c:dPt>
          <c:dPt>
            <c:idx val="3"/>
            <c:invertIfNegative val="0"/>
            <c:bubble3D val="0"/>
            <c:spPr>
              <a:noFill/>
              <a:ln w="41275" cap="flat">
                <a:solidFill>
                  <a:schemeClr val="accent2">
                    <a:lumMod val="50000"/>
                  </a:schemeClr>
                </a:solidFill>
                <a:prstDash val="sysDot"/>
                <a:bevel/>
              </a:ln>
              <a:effectLst/>
            </c:spPr>
            <c:extLst>
              <c:ext xmlns:c16="http://schemas.microsoft.com/office/drawing/2014/chart" uri="{C3380CC4-5D6E-409C-BE32-E72D297353CC}">
                <c16:uniqueId val="{00000012-B8CD-4503-97A2-DE37A3DFFDA1}"/>
              </c:ext>
            </c:extLst>
          </c:dPt>
          <c:dPt>
            <c:idx val="4"/>
            <c:invertIfNegative val="0"/>
            <c:bubble3D val="0"/>
            <c:spPr>
              <a:noFill/>
              <a:ln w="41275" cap="flat">
                <a:solidFill>
                  <a:srgbClr val="7030A0"/>
                </a:solidFill>
                <a:prstDash val="sysDot"/>
                <a:bevel/>
              </a:ln>
              <a:effectLst/>
            </c:spPr>
            <c:extLst>
              <c:ext xmlns:c16="http://schemas.microsoft.com/office/drawing/2014/chart" uri="{C3380CC4-5D6E-409C-BE32-E72D297353CC}">
                <c16:uniqueId val="{00000014-B8CD-4503-97A2-DE37A3DFFDA1}"/>
              </c:ext>
            </c:extLst>
          </c:dPt>
          <c:cat>
            <c:strRef>
              <c:f>'Opt1_NOP Tool calcs'!$AA$4:$AA$8</c:f>
              <c:strCache>
                <c:ptCount val="5"/>
                <c:pt idx="0">
                  <c:v>Walk</c:v>
                </c:pt>
                <c:pt idx="1">
                  <c:v>Cycle</c:v>
                </c:pt>
                <c:pt idx="2">
                  <c:v>PT</c:v>
                </c:pt>
                <c:pt idx="3">
                  <c:v>Freight</c:v>
                </c:pt>
                <c:pt idx="4">
                  <c:v>Gnrl Trfc</c:v>
                </c:pt>
              </c:strCache>
            </c:strRef>
          </c:cat>
          <c:val>
            <c:numRef>
              <c:f>'Opt1_NOP Tool calcs'!$AD$13:$AD$17</c:f>
              <c:numCache>
                <c:formatCode>General</c:formatCode>
                <c:ptCount val="5"/>
                <c:pt idx="0">
                  <c:v>4</c:v>
                </c:pt>
                <c:pt idx="1">
                  <c:v>4</c:v>
                </c:pt>
                <c:pt idx="2">
                  <c:v>4</c:v>
                </c:pt>
                <c:pt idx="3">
                  <c:v>4</c:v>
                </c:pt>
                <c:pt idx="4">
                  <c:v>4</c:v>
                </c:pt>
              </c:numCache>
            </c:numRef>
          </c:val>
          <c:extLst>
            <c:ext xmlns:c16="http://schemas.microsoft.com/office/drawing/2014/chart" uri="{C3380CC4-5D6E-409C-BE32-E72D297353CC}">
              <c16:uniqueId val="{00000015-B8CD-4503-97A2-DE37A3DFFDA1}"/>
            </c:ext>
          </c:extLst>
        </c:ser>
        <c:dLbls>
          <c:showLegendKey val="0"/>
          <c:showVal val="0"/>
          <c:showCatName val="0"/>
          <c:showSerName val="0"/>
          <c:showPercent val="0"/>
          <c:showBubbleSize val="0"/>
        </c:dLbls>
        <c:gapWidth val="7"/>
        <c:overlap val="-25"/>
        <c:axId val="790436240"/>
        <c:axId val="790447472"/>
      </c:barChart>
      <c:lineChart>
        <c:grouping val="stacked"/>
        <c:varyColors val="0"/>
        <c:ser>
          <c:idx val="2"/>
          <c:order val="2"/>
          <c:tx>
            <c:strRef>
              <c:f>'Opt2_NOP Tool calcs'!$AG$12</c:f>
              <c:strCache>
                <c:ptCount val="1"/>
                <c:pt idx="0">
                  <c:v>Assessed LoS Score</c:v>
                </c:pt>
              </c:strCache>
            </c:strRef>
          </c:tx>
          <c:spPr>
            <a:ln w="25400" cap="rnd">
              <a:noFill/>
              <a:round/>
            </a:ln>
            <a:effectLst/>
          </c:spPr>
          <c:marker>
            <c:symbol val="dash"/>
            <c:size val="33"/>
            <c:spPr>
              <a:gradFill>
                <a:gsLst>
                  <a:gs pos="0">
                    <a:schemeClr val="accent1">
                      <a:lumMod val="5000"/>
                      <a:lumOff val="95000"/>
                      <a:alpha val="0"/>
                    </a:schemeClr>
                  </a:gs>
                  <a:gs pos="90000">
                    <a:schemeClr val="bg1">
                      <a:alpha val="0"/>
                    </a:schemeClr>
                  </a:gs>
                  <a:gs pos="10000">
                    <a:schemeClr val="bg1">
                      <a:alpha val="0"/>
                    </a:schemeClr>
                  </a:gs>
                  <a:gs pos="50000">
                    <a:schemeClr val="accent5">
                      <a:lumMod val="75000"/>
                    </a:schemeClr>
                  </a:gs>
                  <a:gs pos="100000">
                    <a:schemeClr val="bg1">
                      <a:alpha val="0"/>
                    </a:schemeClr>
                  </a:gs>
                </a:gsLst>
                <a:lin ang="5400000" scaled="1"/>
              </a:gradFill>
              <a:ln w="9525">
                <a:noFill/>
              </a:ln>
              <a:effectLst/>
            </c:spPr>
          </c:marker>
          <c:cat>
            <c:strRef>
              <c:f>'Opt1_NOP Tool calcs'!$AA$4:$AA$8</c:f>
              <c:strCache>
                <c:ptCount val="5"/>
                <c:pt idx="0">
                  <c:v>Walk</c:v>
                </c:pt>
                <c:pt idx="1">
                  <c:v>Cycle</c:v>
                </c:pt>
                <c:pt idx="2">
                  <c:v>PT</c:v>
                </c:pt>
                <c:pt idx="3">
                  <c:v>Freight</c:v>
                </c:pt>
                <c:pt idx="4">
                  <c:v>Gnrl Trfc</c:v>
                </c:pt>
              </c:strCache>
            </c:strRef>
          </c:cat>
          <c:val>
            <c:numRef>
              <c:f>'Opt2_NOP Tool calcs'!$AG$13:$AG$17</c:f>
              <c:numCache>
                <c:formatCode>General</c:formatCode>
                <c:ptCount val="5"/>
                <c:pt idx="0">
                  <c:v>3</c:v>
                </c:pt>
                <c:pt idx="1">
                  <c:v>4</c:v>
                </c:pt>
                <c:pt idx="2">
                  <c:v>1</c:v>
                </c:pt>
                <c:pt idx="3">
                  <c:v>1</c:v>
                </c:pt>
                <c:pt idx="4">
                  <c:v>1</c:v>
                </c:pt>
              </c:numCache>
            </c:numRef>
          </c:val>
          <c:smooth val="0"/>
          <c:extLst>
            <c:ext xmlns:c16="http://schemas.microsoft.com/office/drawing/2014/chart" uri="{C3380CC4-5D6E-409C-BE32-E72D297353CC}">
              <c16:uniqueId val="{00000016-B8CD-4503-97A2-DE37A3DFFDA1}"/>
            </c:ext>
          </c:extLst>
        </c:ser>
        <c:dLbls>
          <c:showLegendKey val="0"/>
          <c:showVal val="0"/>
          <c:showCatName val="0"/>
          <c:showSerName val="0"/>
          <c:showPercent val="0"/>
          <c:showBubbleSize val="0"/>
        </c:dLbls>
        <c:marker val="1"/>
        <c:smooth val="0"/>
        <c:axId val="790436240"/>
        <c:axId val="790447472"/>
      </c:lineChart>
      <c:catAx>
        <c:axId val="19106639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bg1"/>
                </a:solidFill>
                <a:latin typeface="+mn-lt"/>
                <a:ea typeface="+mn-ea"/>
                <a:cs typeface="+mn-cs"/>
              </a:defRPr>
            </a:pPr>
            <a:endParaRPr lang="en-US"/>
          </a:p>
        </c:txPr>
        <c:crossAx val="1910664400"/>
        <c:crosses val="autoZero"/>
        <c:auto val="1"/>
        <c:lblAlgn val="ctr"/>
        <c:lblOffset val="100"/>
        <c:noMultiLvlLbl val="0"/>
      </c:catAx>
      <c:valAx>
        <c:axId val="1910664400"/>
        <c:scaling>
          <c:orientation val="minMax"/>
          <c:max val="7"/>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910663984"/>
        <c:crosses val="autoZero"/>
        <c:crossBetween val="between"/>
      </c:valAx>
      <c:valAx>
        <c:axId val="790447472"/>
        <c:scaling>
          <c:orientation val="minMax"/>
          <c:max val="7"/>
        </c:scaling>
        <c:delete val="1"/>
        <c:axPos val="r"/>
        <c:numFmt formatCode="General" sourceLinked="1"/>
        <c:majorTickMark val="out"/>
        <c:minorTickMark val="none"/>
        <c:tickLblPos val="nextTo"/>
        <c:crossAx val="790436240"/>
        <c:crosses val="max"/>
        <c:crossBetween val="between"/>
      </c:valAx>
      <c:catAx>
        <c:axId val="790436240"/>
        <c:scaling>
          <c:orientation val="minMax"/>
        </c:scaling>
        <c:delete val="1"/>
        <c:axPos val="b"/>
        <c:numFmt formatCode="General" sourceLinked="1"/>
        <c:majorTickMark val="out"/>
        <c:minorTickMark val="none"/>
        <c:tickLblPos val="nextTo"/>
        <c:crossAx val="790447472"/>
        <c:crosses val="autoZero"/>
        <c:auto val="1"/>
        <c:lblAlgn val="ctr"/>
        <c:lblOffset val="100"/>
        <c:noMultiLvlLbl val="0"/>
      </c:catAx>
      <c:spPr>
        <a:solidFill>
          <a:schemeClr val="bg1">
            <a:lumMod val="95000"/>
          </a:schemeClr>
        </a:solidFill>
        <a:ln>
          <a:solidFill>
            <a:schemeClr val="bg1">
              <a:lumMod val="75000"/>
            </a:schemeClr>
          </a:solidFill>
          <a:round/>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r>
              <a:rPr lang="en-US" sz="2000" b="0">
                <a:solidFill>
                  <a:schemeClr val="accent1">
                    <a:lumMod val="50000"/>
                  </a:schemeClr>
                </a:solidFill>
                <a:latin typeface="+mj-lt"/>
              </a:rPr>
              <a:t>Observed &amp; Assessed Modal Levels of Service</a:t>
            </a:r>
          </a:p>
        </c:rich>
      </c:tx>
      <c:layout>
        <c:manualLayout>
          <c:xMode val="edge"/>
          <c:yMode val="edge"/>
          <c:x val="0.14451924668889818"/>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endParaRPr lang="en-US"/>
        </a:p>
      </c:txPr>
    </c:title>
    <c:autoTitleDeleted val="0"/>
    <c:plotArea>
      <c:layout>
        <c:manualLayout>
          <c:layoutTarget val="inner"/>
          <c:xMode val="edge"/>
          <c:yMode val="edge"/>
          <c:x val="0.16703723640144127"/>
          <c:y val="0.21970751099592148"/>
          <c:w val="0.77385323895036573"/>
          <c:h val="0.60179677620151895"/>
        </c:manualLayout>
      </c:layout>
      <c:barChart>
        <c:barDir val="col"/>
        <c:grouping val="clustered"/>
        <c:varyColors val="0"/>
        <c:ser>
          <c:idx val="0"/>
          <c:order val="0"/>
          <c:tx>
            <c:strRef>
              <c:f>'Opt1_NOP Tool calcs'!$AE$12</c:f>
              <c:strCache>
                <c:ptCount val="1"/>
                <c:pt idx="0">
                  <c:v>Observed LoS Score</c:v>
                </c:pt>
              </c:strCache>
            </c:strRef>
          </c:tx>
          <c:spPr>
            <a:solidFill>
              <a:schemeClr val="accent1"/>
            </a:solidFill>
            <a:ln>
              <a:solidFill>
                <a:schemeClr val="bg1">
                  <a:lumMod val="75000"/>
                </a:schemeClr>
              </a:solidFill>
            </a:ln>
            <a:effectLst/>
          </c:spPr>
          <c:invertIfNegative val="0"/>
          <c:dPt>
            <c:idx val="0"/>
            <c:invertIfNegative val="0"/>
            <c:bubble3D val="0"/>
            <c:spPr>
              <a:solidFill>
                <a:srgbClr val="F1544F">
                  <a:alpha val="60000"/>
                </a:srgbClr>
              </a:solidFill>
              <a:ln>
                <a:solidFill>
                  <a:schemeClr val="bg1">
                    <a:lumMod val="75000"/>
                  </a:schemeClr>
                </a:solidFill>
              </a:ln>
              <a:effectLst/>
            </c:spPr>
            <c:extLst>
              <c:ext xmlns:c16="http://schemas.microsoft.com/office/drawing/2014/chart" uri="{C3380CC4-5D6E-409C-BE32-E72D297353CC}">
                <c16:uniqueId val="{00000001-DF1C-429E-B5FD-5092B4EAAE8E}"/>
              </c:ext>
            </c:extLst>
          </c:dPt>
          <c:dPt>
            <c:idx val="1"/>
            <c:invertIfNegative val="0"/>
            <c:bubble3D val="0"/>
            <c:spPr>
              <a:solidFill>
                <a:schemeClr val="accent6">
                  <a:lumMod val="75000"/>
                  <a:alpha val="67000"/>
                </a:schemeClr>
              </a:solidFill>
              <a:ln>
                <a:solidFill>
                  <a:schemeClr val="bg1">
                    <a:lumMod val="75000"/>
                  </a:schemeClr>
                </a:solidFill>
              </a:ln>
              <a:effectLst/>
            </c:spPr>
            <c:extLst>
              <c:ext xmlns:c16="http://schemas.microsoft.com/office/drawing/2014/chart" uri="{C3380CC4-5D6E-409C-BE32-E72D297353CC}">
                <c16:uniqueId val="{00000003-DF1C-429E-B5FD-5092B4EAAE8E}"/>
              </c:ext>
            </c:extLst>
          </c:dPt>
          <c:dPt>
            <c:idx val="2"/>
            <c:invertIfNegative val="0"/>
            <c:bubble3D val="0"/>
            <c:spPr>
              <a:solidFill>
                <a:schemeClr val="accent1">
                  <a:alpha val="61000"/>
                </a:schemeClr>
              </a:solidFill>
              <a:ln>
                <a:solidFill>
                  <a:schemeClr val="bg1">
                    <a:lumMod val="75000"/>
                  </a:schemeClr>
                </a:solidFill>
              </a:ln>
              <a:effectLst/>
            </c:spPr>
            <c:extLst>
              <c:ext xmlns:c16="http://schemas.microsoft.com/office/drawing/2014/chart" uri="{C3380CC4-5D6E-409C-BE32-E72D297353CC}">
                <c16:uniqueId val="{00000005-DF1C-429E-B5FD-5092B4EAAE8E}"/>
              </c:ext>
            </c:extLst>
          </c:dPt>
          <c:dPt>
            <c:idx val="3"/>
            <c:invertIfNegative val="0"/>
            <c:bubble3D val="0"/>
            <c:spPr>
              <a:solidFill>
                <a:srgbClr val="C25614">
                  <a:alpha val="49804"/>
                </a:srgbClr>
              </a:solidFill>
              <a:ln>
                <a:solidFill>
                  <a:schemeClr val="bg1">
                    <a:lumMod val="75000"/>
                  </a:schemeClr>
                </a:solidFill>
              </a:ln>
              <a:effectLst/>
            </c:spPr>
            <c:extLst>
              <c:ext xmlns:c16="http://schemas.microsoft.com/office/drawing/2014/chart" uri="{C3380CC4-5D6E-409C-BE32-E72D297353CC}">
                <c16:uniqueId val="{00000007-DF1C-429E-B5FD-5092B4EAAE8E}"/>
              </c:ext>
            </c:extLst>
          </c:dPt>
          <c:dPt>
            <c:idx val="4"/>
            <c:invertIfNegative val="0"/>
            <c:bubble3D val="0"/>
            <c:spPr>
              <a:solidFill>
                <a:srgbClr val="8D42C6">
                  <a:alpha val="66667"/>
                </a:srgbClr>
              </a:solidFill>
              <a:ln>
                <a:solidFill>
                  <a:schemeClr val="bg1">
                    <a:lumMod val="75000"/>
                  </a:schemeClr>
                </a:solidFill>
              </a:ln>
              <a:effectLst/>
            </c:spPr>
            <c:extLst>
              <c:ext xmlns:c16="http://schemas.microsoft.com/office/drawing/2014/chart" uri="{C3380CC4-5D6E-409C-BE32-E72D297353CC}">
                <c16:uniqueId val="{00000009-DF1C-429E-B5FD-5092B4EAAE8E}"/>
              </c:ext>
            </c:extLst>
          </c:dPt>
          <c:errBars>
            <c:errBarType val="both"/>
            <c:errValType val="cust"/>
            <c:noEndCap val="1"/>
            <c:plus>
              <c:numRef>
                <c:f>'Opt1_NOP Tool calcs'!$AP$23:$AP$29</c:f>
                <c:numCache>
                  <c:formatCode>General</c:formatCode>
                  <c:ptCount val="7"/>
                  <c:pt idx="0">
                    <c:v>0</c:v>
                  </c:pt>
                  <c:pt idx="1">
                    <c:v>0</c:v>
                  </c:pt>
                  <c:pt idx="2">
                    <c:v>1</c:v>
                  </c:pt>
                  <c:pt idx="3">
                    <c:v>0</c:v>
                  </c:pt>
                  <c:pt idx="4">
                    <c:v>0</c:v>
                  </c:pt>
                  <c:pt idx="5">
                    <c:v>0</c:v>
                  </c:pt>
                  <c:pt idx="6">
                    <c:v>0</c:v>
                  </c:pt>
                </c:numCache>
              </c:numRef>
            </c:plus>
            <c:minus>
              <c:numRef>
                <c:f>'Opt1_NOP Tool calcs'!$AO$23:$AO$29</c:f>
                <c:numCache>
                  <c:formatCode>General</c:formatCode>
                  <c:ptCount val="7"/>
                  <c:pt idx="0">
                    <c:v>0</c:v>
                  </c:pt>
                  <c:pt idx="1">
                    <c:v>0</c:v>
                  </c:pt>
                  <c:pt idx="2">
                    <c:v>0</c:v>
                  </c:pt>
                  <c:pt idx="3">
                    <c:v>0</c:v>
                  </c:pt>
                  <c:pt idx="4">
                    <c:v>2</c:v>
                  </c:pt>
                  <c:pt idx="5">
                    <c:v>0</c:v>
                  </c:pt>
                  <c:pt idx="6">
                    <c:v>0</c:v>
                  </c:pt>
                </c:numCache>
              </c:numRef>
            </c:minus>
            <c:spPr>
              <a:noFill/>
              <a:ln w="60325" cap="flat" cmpd="sng" algn="ctr">
                <a:solidFill>
                  <a:schemeClr val="accent1"/>
                </a:solidFill>
                <a:prstDash val="solid"/>
                <a:round/>
                <a:headEnd type="none"/>
                <a:tailEnd type="arrow" w="med" len="med"/>
              </a:ln>
              <a:effectLst>
                <a:outerShdw blurRad="50800" dist="38100" dir="2700000" algn="tl" rotWithShape="0">
                  <a:prstClr val="black">
                    <a:alpha val="40000"/>
                  </a:prstClr>
                </a:outerShdw>
              </a:effectLst>
            </c:spPr>
          </c:errBars>
          <c:cat>
            <c:strRef>
              <c:f>'Opt1_NOP Tool calcs'!$AA$4:$AA$8</c:f>
              <c:strCache>
                <c:ptCount val="5"/>
                <c:pt idx="0">
                  <c:v>Walk</c:v>
                </c:pt>
                <c:pt idx="1">
                  <c:v>Cycle</c:v>
                </c:pt>
                <c:pt idx="2">
                  <c:v>PT</c:v>
                </c:pt>
                <c:pt idx="3">
                  <c:v>Freight</c:v>
                </c:pt>
                <c:pt idx="4">
                  <c:v>Gnrl Trfc</c:v>
                </c:pt>
              </c:strCache>
            </c:strRef>
          </c:cat>
          <c:val>
            <c:numRef>
              <c:f>'Opt1_NOP Tool calcs'!$AE$13:$AE$17</c:f>
              <c:numCache>
                <c:formatCode>General</c:formatCode>
                <c:ptCount val="5"/>
                <c:pt idx="0">
                  <c:v>3</c:v>
                </c:pt>
                <c:pt idx="1">
                  <c:v>4</c:v>
                </c:pt>
                <c:pt idx="2">
                  <c:v>2</c:v>
                </c:pt>
                <c:pt idx="3">
                  <c:v>4</c:v>
                </c:pt>
                <c:pt idx="4">
                  <c:v>3</c:v>
                </c:pt>
              </c:numCache>
            </c:numRef>
          </c:val>
          <c:extLst>
            <c:ext xmlns:c16="http://schemas.microsoft.com/office/drawing/2014/chart" uri="{C3380CC4-5D6E-409C-BE32-E72D297353CC}">
              <c16:uniqueId val="{0000000E-DF1C-429E-B5FD-5092B4EAAE8E}"/>
            </c:ext>
          </c:extLst>
        </c:ser>
        <c:dLbls>
          <c:showLegendKey val="0"/>
          <c:showVal val="0"/>
          <c:showCatName val="0"/>
          <c:showSerName val="0"/>
          <c:showPercent val="0"/>
          <c:showBubbleSize val="0"/>
        </c:dLbls>
        <c:gapWidth val="0"/>
        <c:overlap val="-25"/>
        <c:axId val="1910663984"/>
        <c:axId val="1910664400"/>
      </c:barChart>
      <c:barChart>
        <c:barDir val="col"/>
        <c:grouping val="clustered"/>
        <c:varyColors val="0"/>
        <c:ser>
          <c:idx val="1"/>
          <c:order val="1"/>
          <c:tx>
            <c:strRef>
              <c:f>'Opt1_NOP Tool calcs'!$AB$12</c:f>
              <c:strCache>
                <c:ptCount val="1"/>
                <c:pt idx="0">
                  <c:v>Acceptable Target LoS (base)</c:v>
                </c:pt>
              </c:strCache>
            </c:strRef>
          </c:tx>
          <c:spPr>
            <a:solidFill>
              <a:schemeClr val="accent2"/>
            </a:solidFill>
            <a:ln>
              <a:noFill/>
            </a:ln>
            <a:effectLst/>
          </c:spPr>
          <c:invertIfNegative val="0"/>
          <c:dPt>
            <c:idx val="0"/>
            <c:invertIfNegative val="0"/>
            <c:bubble3D val="0"/>
            <c:spPr>
              <a:noFill/>
              <a:ln w="41275" cap="flat">
                <a:solidFill>
                  <a:srgbClr val="EC1914">
                    <a:alpha val="94902"/>
                  </a:srgbClr>
                </a:solidFill>
                <a:prstDash val="sysDot"/>
                <a:bevel/>
              </a:ln>
              <a:effectLst/>
            </c:spPr>
            <c:extLst>
              <c:ext xmlns:c16="http://schemas.microsoft.com/office/drawing/2014/chart" uri="{C3380CC4-5D6E-409C-BE32-E72D297353CC}">
                <c16:uniqueId val="{00000011-DF1C-429E-B5FD-5092B4EAAE8E}"/>
              </c:ext>
            </c:extLst>
          </c:dPt>
          <c:dPt>
            <c:idx val="1"/>
            <c:invertIfNegative val="0"/>
            <c:bubble3D val="0"/>
            <c:spPr>
              <a:noFill/>
              <a:ln w="41275" cap="flat">
                <a:solidFill>
                  <a:schemeClr val="accent6">
                    <a:lumMod val="50000"/>
                  </a:schemeClr>
                </a:solidFill>
                <a:prstDash val="sysDot"/>
                <a:bevel/>
              </a:ln>
              <a:effectLst/>
            </c:spPr>
            <c:extLst>
              <c:ext xmlns:c16="http://schemas.microsoft.com/office/drawing/2014/chart" uri="{C3380CC4-5D6E-409C-BE32-E72D297353CC}">
                <c16:uniqueId val="{0000001C-D583-4DD9-9A52-D18853775F18}"/>
              </c:ext>
            </c:extLst>
          </c:dPt>
          <c:dPt>
            <c:idx val="2"/>
            <c:invertIfNegative val="0"/>
            <c:bubble3D val="0"/>
            <c:spPr>
              <a:noFill/>
              <a:ln w="41275" cap="flat">
                <a:solidFill>
                  <a:srgbClr val="0070C0"/>
                </a:solidFill>
                <a:prstDash val="sysDot"/>
                <a:bevel/>
              </a:ln>
              <a:effectLst/>
            </c:spPr>
            <c:extLst>
              <c:ext xmlns:c16="http://schemas.microsoft.com/office/drawing/2014/chart" uri="{C3380CC4-5D6E-409C-BE32-E72D297353CC}">
                <c16:uniqueId val="{00000012-DF1C-429E-B5FD-5092B4EAAE8E}"/>
              </c:ext>
            </c:extLst>
          </c:dPt>
          <c:dPt>
            <c:idx val="3"/>
            <c:invertIfNegative val="0"/>
            <c:bubble3D val="0"/>
            <c:spPr>
              <a:noFill/>
              <a:ln w="41275" cap="flat">
                <a:solidFill>
                  <a:schemeClr val="accent2">
                    <a:lumMod val="50000"/>
                  </a:schemeClr>
                </a:solidFill>
                <a:prstDash val="sysDot"/>
                <a:bevel/>
              </a:ln>
              <a:effectLst/>
            </c:spPr>
            <c:extLst>
              <c:ext xmlns:c16="http://schemas.microsoft.com/office/drawing/2014/chart" uri="{C3380CC4-5D6E-409C-BE32-E72D297353CC}">
                <c16:uniqueId val="{00000013-DF1C-429E-B5FD-5092B4EAAE8E}"/>
              </c:ext>
            </c:extLst>
          </c:dPt>
          <c:dPt>
            <c:idx val="4"/>
            <c:invertIfNegative val="0"/>
            <c:bubble3D val="0"/>
            <c:spPr>
              <a:noFill/>
              <a:ln w="41275" cap="flat">
                <a:solidFill>
                  <a:srgbClr val="7030A0"/>
                </a:solidFill>
                <a:prstDash val="sysDot"/>
                <a:bevel/>
              </a:ln>
              <a:effectLst/>
            </c:spPr>
            <c:extLst>
              <c:ext xmlns:c16="http://schemas.microsoft.com/office/drawing/2014/chart" uri="{C3380CC4-5D6E-409C-BE32-E72D297353CC}">
                <c16:uniqueId val="{00000014-DF1C-429E-B5FD-5092B4EAAE8E}"/>
              </c:ext>
            </c:extLst>
          </c:dPt>
          <c:cat>
            <c:strRef>
              <c:f>'Opt1_NOP Tool calcs'!$AA$4:$AA$8</c:f>
              <c:strCache>
                <c:ptCount val="5"/>
                <c:pt idx="0">
                  <c:v>Walk</c:v>
                </c:pt>
                <c:pt idx="1">
                  <c:v>Cycle</c:v>
                </c:pt>
                <c:pt idx="2">
                  <c:v>PT</c:v>
                </c:pt>
                <c:pt idx="3">
                  <c:v>Freight</c:v>
                </c:pt>
                <c:pt idx="4">
                  <c:v>Gnrl Trfc</c:v>
                </c:pt>
              </c:strCache>
            </c:strRef>
          </c:cat>
          <c:val>
            <c:numRef>
              <c:f>'Opt1_NOP Tool calcs'!$AD$13:$AD$17</c:f>
              <c:numCache>
                <c:formatCode>General</c:formatCode>
                <c:ptCount val="5"/>
                <c:pt idx="0">
                  <c:v>4</c:v>
                </c:pt>
                <c:pt idx="1">
                  <c:v>4</c:v>
                </c:pt>
                <c:pt idx="2">
                  <c:v>4</c:v>
                </c:pt>
                <c:pt idx="3">
                  <c:v>4</c:v>
                </c:pt>
                <c:pt idx="4">
                  <c:v>4</c:v>
                </c:pt>
              </c:numCache>
            </c:numRef>
          </c:val>
          <c:extLst>
            <c:ext xmlns:c16="http://schemas.microsoft.com/office/drawing/2014/chart" uri="{C3380CC4-5D6E-409C-BE32-E72D297353CC}">
              <c16:uniqueId val="{00000010-DF1C-429E-B5FD-5092B4EAAE8E}"/>
            </c:ext>
          </c:extLst>
        </c:ser>
        <c:dLbls>
          <c:showLegendKey val="0"/>
          <c:showVal val="0"/>
          <c:showCatName val="0"/>
          <c:showSerName val="0"/>
          <c:showPercent val="0"/>
          <c:showBubbleSize val="0"/>
        </c:dLbls>
        <c:gapWidth val="7"/>
        <c:overlap val="-25"/>
        <c:axId val="790436240"/>
        <c:axId val="790447472"/>
      </c:barChart>
      <c:lineChart>
        <c:grouping val="stacked"/>
        <c:varyColors val="0"/>
        <c:ser>
          <c:idx val="2"/>
          <c:order val="2"/>
          <c:tx>
            <c:strRef>
              <c:f>'Opt1_NOP Tool calcs'!$AG$12</c:f>
              <c:strCache>
                <c:ptCount val="1"/>
                <c:pt idx="0">
                  <c:v>Assessed LoS Score</c:v>
                </c:pt>
              </c:strCache>
            </c:strRef>
          </c:tx>
          <c:spPr>
            <a:ln w="25400" cap="rnd">
              <a:noFill/>
              <a:round/>
            </a:ln>
            <a:effectLst/>
          </c:spPr>
          <c:marker>
            <c:symbol val="dash"/>
            <c:size val="33"/>
            <c:spPr>
              <a:gradFill>
                <a:gsLst>
                  <a:gs pos="0">
                    <a:schemeClr val="accent1">
                      <a:lumMod val="5000"/>
                      <a:lumOff val="95000"/>
                      <a:alpha val="0"/>
                    </a:schemeClr>
                  </a:gs>
                  <a:gs pos="90000">
                    <a:schemeClr val="bg1">
                      <a:alpha val="0"/>
                    </a:schemeClr>
                  </a:gs>
                  <a:gs pos="10000">
                    <a:schemeClr val="bg1">
                      <a:alpha val="0"/>
                    </a:schemeClr>
                  </a:gs>
                  <a:gs pos="50000">
                    <a:schemeClr val="accent5">
                      <a:lumMod val="75000"/>
                    </a:schemeClr>
                  </a:gs>
                  <a:gs pos="100000">
                    <a:schemeClr val="bg1">
                      <a:alpha val="0"/>
                    </a:schemeClr>
                  </a:gs>
                </a:gsLst>
                <a:lin ang="5400000" scaled="1"/>
              </a:gradFill>
              <a:ln w="9525">
                <a:noFill/>
              </a:ln>
              <a:effectLst/>
            </c:spPr>
          </c:marker>
          <c:cat>
            <c:strRef>
              <c:f>'Opt1_NOP Tool calcs'!$AA$4:$AA$8</c:f>
              <c:strCache>
                <c:ptCount val="5"/>
                <c:pt idx="0">
                  <c:v>Walk</c:v>
                </c:pt>
                <c:pt idx="1">
                  <c:v>Cycle</c:v>
                </c:pt>
                <c:pt idx="2">
                  <c:v>PT</c:v>
                </c:pt>
                <c:pt idx="3">
                  <c:v>Freight</c:v>
                </c:pt>
                <c:pt idx="4">
                  <c:v>Gnrl Trfc</c:v>
                </c:pt>
              </c:strCache>
            </c:strRef>
          </c:cat>
          <c:val>
            <c:numRef>
              <c:f>'Opt1_NOP Tool calcs'!$AG$13:$AG$17</c:f>
              <c:numCache>
                <c:formatCode>General</c:formatCode>
                <c:ptCount val="5"/>
                <c:pt idx="0">
                  <c:v>3</c:v>
                </c:pt>
                <c:pt idx="1">
                  <c:v>4</c:v>
                </c:pt>
                <c:pt idx="2">
                  <c:v>3</c:v>
                </c:pt>
                <c:pt idx="3">
                  <c:v>4</c:v>
                </c:pt>
                <c:pt idx="4">
                  <c:v>1</c:v>
                </c:pt>
              </c:numCache>
            </c:numRef>
          </c:val>
          <c:smooth val="0"/>
          <c:extLst>
            <c:ext xmlns:c16="http://schemas.microsoft.com/office/drawing/2014/chart" uri="{C3380CC4-5D6E-409C-BE32-E72D297353CC}">
              <c16:uniqueId val="{00000019-71FD-4D89-9DE9-0F63C8A909A5}"/>
            </c:ext>
          </c:extLst>
        </c:ser>
        <c:dLbls>
          <c:showLegendKey val="0"/>
          <c:showVal val="0"/>
          <c:showCatName val="0"/>
          <c:showSerName val="0"/>
          <c:showPercent val="0"/>
          <c:showBubbleSize val="0"/>
        </c:dLbls>
        <c:marker val="1"/>
        <c:smooth val="0"/>
        <c:axId val="790436240"/>
        <c:axId val="790447472"/>
      </c:lineChart>
      <c:catAx>
        <c:axId val="19106639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bg1"/>
                </a:solidFill>
                <a:latin typeface="+mn-lt"/>
                <a:ea typeface="+mn-ea"/>
                <a:cs typeface="+mn-cs"/>
              </a:defRPr>
            </a:pPr>
            <a:endParaRPr lang="en-US"/>
          </a:p>
        </c:txPr>
        <c:crossAx val="1910664400"/>
        <c:crosses val="autoZero"/>
        <c:auto val="1"/>
        <c:lblAlgn val="ctr"/>
        <c:lblOffset val="100"/>
        <c:noMultiLvlLbl val="0"/>
      </c:catAx>
      <c:valAx>
        <c:axId val="1910664400"/>
        <c:scaling>
          <c:orientation val="minMax"/>
          <c:max val="7"/>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910663984"/>
        <c:crosses val="autoZero"/>
        <c:crossBetween val="between"/>
      </c:valAx>
      <c:valAx>
        <c:axId val="790447472"/>
        <c:scaling>
          <c:orientation val="minMax"/>
          <c:max val="7"/>
        </c:scaling>
        <c:delete val="1"/>
        <c:axPos val="r"/>
        <c:numFmt formatCode="General" sourceLinked="1"/>
        <c:majorTickMark val="out"/>
        <c:minorTickMark val="none"/>
        <c:tickLblPos val="nextTo"/>
        <c:crossAx val="790436240"/>
        <c:crosses val="max"/>
        <c:crossBetween val="between"/>
      </c:valAx>
      <c:catAx>
        <c:axId val="790436240"/>
        <c:scaling>
          <c:orientation val="minMax"/>
        </c:scaling>
        <c:delete val="1"/>
        <c:axPos val="b"/>
        <c:numFmt formatCode="General" sourceLinked="1"/>
        <c:majorTickMark val="out"/>
        <c:minorTickMark val="none"/>
        <c:tickLblPos val="nextTo"/>
        <c:crossAx val="790447472"/>
        <c:crosses val="autoZero"/>
        <c:auto val="1"/>
        <c:lblAlgn val="ctr"/>
        <c:lblOffset val="100"/>
        <c:noMultiLvlLbl val="0"/>
      </c:catAx>
      <c:spPr>
        <a:solidFill>
          <a:schemeClr val="bg1">
            <a:lumMod val="95000"/>
          </a:schemeClr>
        </a:solidFill>
        <a:ln>
          <a:solidFill>
            <a:schemeClr val="bg1">
              <a:lumMod val="75000"/>
            </a:schemeClr>
          </a:solidFill>
          <a:round/>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r>
              <a:rPr lang="en-US" sz="2000" b="0">
                <a:solidFill>
                  <a:schemeClr val="accent1">
                    <a:lumMod val="50000"/>
                  </a:schemeClr>
                </a:solidFill>
                <a:latin typeface="+mj-lt"/>
              </a:rPr>
              <a:t>Observed &amp; Assessed Modal Levels of Service</a:t>
            </a:r>
          </a:p>
        </c:rich>
      </c:tx>
      <c:layout>
        <c:manualLayout>
          <c:xMode val="edge"/>
          <c:yMode val="edge"/>
          <c:x val="0.14451924668889818"/>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endParaRPr lang="en-US"/>
        </a:p>
      </c:txPr>
    </c:title>
    <c:autoTitleDeleted val="0"/>
    <c:plotArea>
      <c:layout>
        <c:manualLayout>
          <c:layoutTarget val="inner"/>
          <c:xMode val="edge"/>
          <c:yMode val="edge"/>
          <c:x val="0.16703723640144127"/>
          <c:y val="0.21970751099592148"/>
          <c:w val="0.77385323895036573"/>
          <c:h val="0.60179677620151895"/>
        </c:manualLayout>
      </c:layout>
      <c:barChart>
        <c:barDir val="col"/>
        <c:grouping val="clustered"/>
        <c:varyColors val="0"/>
        <c:ser>
          <c:idx val="0"/>
          <c:order val="0"/>
          <c:tx>
            <c:strRef>
              <c:f>'Opt2_NOP Tool calcs'!$AE$12</c:f>
              <c:strCache>
                <c:ptCount val="1"/>
                <c:pt idx="0">
                  <c:v>Observed LoS Score</c:v>
                </c:pt>
              </c:strCache>
            </c:strRef>
          </c:tx>
          <c:spPr>
            <a:solidFill>
              <a:schemeClr val="accent1"/>
            </a:solidFill>
            <a:ln>
              <a:solidFill>
                <a:schemeClr val="bg1">
                  <a:lumMod val="75000"/>
                </a:schemeClr>
              </a:solidFill>
            </a:ln>
            <a:effectLst/>
          </c:spPr>
          <c:invertIfNegative val="0"/>
          <c:dPt>
            <c:idx val="0"/>
            <c:invertIfNegative val="0"/>
            <c:bubble3D val="0"/>
            <c:spPr>
              <a:solidFill>
                <a:srgbClr val="F1544F">
                  <a:alpha val="60000"/>
                </a:srgbClr>
              </a:solidFill>
              <a:ln>
                <a:solidFill>
                  <a:schemeClr val="bg1">
                    <a:lumMod val="75000"/>
                  </a:schemeClr>
                </a:solidFill>
              </a:ln>
              <a:effectLst/>
            </c:spPr>
            <c:extLst>
              <c:ext xmlns:c16="http://schemas.microsoft.com/office/drawing/2014/chart" uri="{C3380CC4-5D6E-409C-BE32-E72D297353CC}">
                <c16:uniqueId val="{00000001-9D60-4680-B033-448529BF8FED}"/>
              </c:ext>
            </c:extLst>
          </c:dPt>
          <c:dPt>
            <c:idx val="1"/>
            <c:invertIfNegative val="0"/>
            <c:bubble3D val="0"/>
            <c:spPr>
              <a:solidFill>
                <a:schemeClr val="accent6">
                  <a:lumMod val="75000"/>
                  <a:alpha val="67000"/>
                </a:schemeClr>
              </a:solidFill>
              <a:ln>
                <a:solidFill>
                  <a:schemeClr val="bg1">
                    <a:lumMod val="75000"/>
                  </a:schemeClr>
                </a:solidFill>
              </a:ln>
              <a:effectLst/>
            </c:spPr>
            <c:extLst>
              <c:ext xmlns:c16="http://schemas.microsoft.com/office/drawing/2014/chart" uri="{C3380CC4-5D6E-409C-BE32-E72D297353CC}">
                <c16:uniqueId val="{00000003-9D60-4680-B033-448529BF8FED}"/>
              </c:ext>
            </c:extLst>
          </c:dPt>
          <c:dPt>
            <c:idx val="2"/>
            <c:invertIfNegative val="0"/>
            <c:bubble3D val="0"/>
            <c:spPr>
              <a:solidFill>
                <a:schemeClr val="accent1">
                  <a:alpha val="61000"/>
                </a:schemeClr>
              </a:solidFill>
              <a:ln>
                <a:solidFill>
                  <a:schemeClr val="bg1">
                    <a:lumMod val="75000"/>
                  </a:schemeClr>
                </a:solidFill>
              </a:ln>
              <a:effectLst/>
            </c:spPr>
            <c:extLst>
              <c:ext xmlns:c16="http://schemas.microsoft.com/office/drawing/2014/chart" uri="{C3380CC4-5D6E-409C-BE32-E72D297353CC}">
                <c16:uniqueId val="{00000005-9D60-4680-B033-448529BF8FED}"/>
              </c:ext>
            </c:extLst>
          </c:dPt>
          <c:dPt>
            <c:idx val="3"/>
            <c:invertIfNegative val="0"/>
            <c:bubble3D val="0"/>
            <c:spPr>
              <a:solidFill>
                <a:srgbClr val="C25614">
                  <a:alpha val="49804"/>
                </a:srgbClr>
              </a:solidFill>
              <a:ln>
                <a:solidFill>
                  <a:schemeClr val="bg1">
                    <a:lumMod val="75000"/>
                  </a:schemeClr>
                </a:solidFill>
              </a:ln>
              <a:effectLst/>
            </c:spPr>
            <c:extLst>
              <c:ext xmlns:c16="http://schemas.microsoft.com/office/drawing/2014/chart" uri="{C3380CC4-5D6E-409C-BE32-E72D297353CC}">
                <c16:uniqueId val="{00000007-9D60-4680-B033-448529BF8FED}"/>
              </c:ext>
            </c:extLst>
          </c:dPt>
          <c:dPt>
            <c:idx val="4"/>
            <c:invertIfNegative val="0"/>
            <c:bubble3D val="0"/>
            <c:spPr>
              <a:solidFill>
                <a:srgbClr val="8D42C6">
                  <a:alpha val="66667"/>
                </a:srgbClr>
              </a:solidFill>
              <a:ln>
                <a:solidFill>
                  <a:schemeClr val="bg1">
                    <a:lumMod val="75000"/>
                  </a:schemeClr>
                </a:solidFill>
              </a:ln>
              <a:effectLst/>
            </c:spPr>
            <c:extLst>
              <c:ext xmlns:c16="http://schemas.microsoft.com/office/drawing/2014/chart" uri="{C3380CC4-5D6E-409C-BE32-E72D297353CC}">
                <c16:uniqueId val="{00000009-9D60-4680-B033-448529BF8FED}"/>
              </c:ext>
            </c:extLst>
          </c:dPt>
          <c:errBars>
            <c:errBarType val="both"/>
            <c:errValType val="cust"/>
            <c:noEndCap val="1"/>
            <c:plus>
              <c:numRef>
                <c:f>'Opt2_NOP Tool calcs'!$AP$23:$AP$29</c:f>
                <c:numCache>
                  <c:formatCode>General</c:formatCode>
                  <c:ptCount val="7"/>
                  <c:pt idx="0">
                    <c:v>0</c:v>
                  </c:pt>
                  <c:pt idx="1">
                    <c:v>0</c:v>
                  </c:pt>
                  <c:pt idx="2">
                    <c:v>0</c:v>
                  </c:pt>
                  <c:pt idx="3">
                    <c:v>0</c:v>
                  </c:pt>
                  <c:pt idx="4">
                    <c:v>0</c:v>
                  </c:pt>
                  <c:pt idx="5">
                    <c:v>0</c:v>
                  </c:pt>
                  <c:pt idx="6">
                    <c:v>0</c:v>
                  </c:pt>
                </c:numCache>
              </c:numRef>
            </c:plus>
            <c:minus>
              <c:numRef>
                <c:f>'Opt2_NOP Tool calcs'!$AO$23:$AO$29</c:f>
                <c:numCache>
                  <c:formatCode>General</c:formatCode>
                  <c:ptCount val="7"/>
                  <c:pt idx="0">
                    <c:v>0</c:v>
                  </c:pt>
                  <c:pt idx="1">
                    <c:v>0</c:v>
                  </c:pt>
                  <c:pt idx="2">
                    <c:v>1</c:v>
                  </c:pt>
                  <c:pt idx="3">
                    <c:v>3</c:v>
                  </c:pt>
                  <c:pt idx="4">
                    <c:v>2</c:v>
                  </c:pt>
                  <c:pt idx="5">
                    <c:v>0</c:v>
                  </c:pt>
                  <c:pt idx="6">
                    <c:v>0</c:v>
                  </c:pt>
                </c:numCache>
              </c:numRef>
            </c:minus>
            <c:spPr>
              <a:noFill/>
              <a:ln w="60325" cap="flat" cmpd="sng" algn="ctr">
                <a:solidFill>
                  <a:schemeClr val="accent1"/>
                </a:solidFill>
                <a:prstDash val="solid"/>
                <a:round/>
                <a:headEnd type="none"/>
                <a:tailEnd type="arrow" w="med" len="med"/>
              </a:ln>
              <a:effectLst>
                <a:outerShdw blurRad="50800" dist="38100" dir="2700000" algn="tl" rotWithShape="0">
                  <a:prstClr val="black">
                    <a:alpha val="40000"/>
                  </a:prstClr>
                </a:outerShdw>
              </a:effectLst>
            </c:spPr>
          </c:errBars>
          <c:cat>
            <c:strRef>
              <c:f>'Opt2_NOP Tool calcs'!$AA$4:$AA$8</c:f>
              <c:strCache>
                <c:ptCount val="5"/>
                <c:pt idx="0">
                  <c:v>Walk</c:v>
                </c:pt>
                <c:pt idx="1">
                  <c:v>Cycle</c:v>
                </c:pt>
                <c:pt idx="2">
                  <c:v>PT</c:v>
                </c:pt>
                <c:pt idx="3">
                  <c:v>Freight</c:v>
                </c:pt>
                <c:pt idx="4">
                  <c:v>Gnrl Trfc</c:v>
                </c:pt>
              </c:strCache>
            </c:strRef>
          </c:cat>
          <c:val>
            <c:numRef>
              <c:f>'Opt2_NOP Tool calcs'!$AE$13:$AE$17</c:f>
              <c:numCache>
                <c:formatCode>General</c:formatCode>
                <c:ptCount val="5"/>
                <c:pt idx="0">
                  <c:v>3</c:v>
                </c:pt>
                <c:pt idx="1">
                  <c:v>4</c:v>
                </c:pt>
                <c:pt idx="2">
                  <c:v>2</c:v>
                </c:pt>
                <c:pt idx="3">
                  <c:v>4</c:v>
                </c:pt>
                <c:pt idx="4">
                  <c:v>3</c:v>
                </c:pt>
              </c:numCache>
            </c:numRef>
          </c:val>
          <c:extLst>
            <c:ext xmlns:c16="http://schemas.microsoft.com/office/drawing/2014/chart" uri="{C3380CC4-5D6E-409C-BE32-E72D297353CC}">
              <c16:uniqueId val="{0000000A-9D60-4680-B033-448529BF8FED}"/>
            </c:ext>
          </c:extLst>
        </c:ser>
        <c:dLbls>
          <c:showLegendKey val="0"/>
          <c:showVal val="0"/>
          <c:showCatName val="0"/>
          <c:showSerName val="0"/>
          <c:showPercent val="0"/>
          <c:showBubbleSize val="0"/>
        </c:dLbls>
        <c:gapWidth val="0"/>
        <c:overlap val="-25"/>
        <c:axId val="1910663984"/>
        <c:axId val="1910664400"/>
      </c:barChart>
      <c:barChart>
        <c:barDir val="col"/>
        <c:grouping val="clustered"/>
        <c:varyColors val="0"/>
        <c:ser>
          <c:idx val="1"/>
          <c:order val="1"/>
          <c:tx>
            <c:strRef>
              <c:f>'Opt2_NOP Tool calcs'!$AB$12</c:f>
              <c:strCache>
                <c:ptCount val="1"/>
                <c:pt idx="0">
                  <c:v>Acceptable Target LoS (base)</c:v>
                </c:pt>
              </c:strCache>
            </c:strRef>
          </c:tx>
          <c:spPr>
            <a:solidFill>
              <a:schemeClr val="accent2"/>
            </a:solidFill>
            <a:ln>
              <a:noFill/>
            </a:ln>
            <a:effectLst/>
          </c:spPr>
          <c:invertIfNegative val="0"/>
          <c:dPt>
            <c:idx val="0"/>
            <c:invertIfNegative val="0"/>
            <c:bubble3D val="0"/>
            <c:spPr>
              <a:noFill/>
              <a:ln w="41275" cap="flat">
                <a:solidFill>
                  <a:srgbClr val="EC1914">
                    <a:alpha val="94902"/>
                  </a:srgbClr>
                </a:solidFill>
                <a:prstDash val="sysDot"/>
                <a:bevel/>
              </a:ln>
              <a:effectLst/>
            </c:spPr>
            <c:extLst>
              <c:ext xmlns:c16="http://schemas.microsoft.com/office/drawing/2014/chart" uri="{C3380CC4-5D6E-409C-BE32-E72D297353CC}">
                <c16:uniqueId val="{0000000C-9D60-4680-B033-448529BF8FED}"/>
              </c:ext>
            </c:extLst>
          </c:dPt>
          <c:dPt>
            <c:idx val="1"/>
            <c:invertIfNegative val="0"/>
            <c:bubble3D val="0"/>
            <c:spPr>
              <a:noFill/>
              <a:ln w="41275" cap="flat">
                <a:solidFill>
                  <a:schemeClr val="accent6">
                    <a:lumMod val="50000"/>
                  </a:schemeClr>
                </a:solidFill>
                <a:prstDash val="sysDot"/>
                <a:bevel/>
              </a:ln>
              <a:effectLst/>
            </c:spPr>
            <c:extLst>
              <c:ext xmlns:c16="http://schemas.microsoft.com/office/drawing/2014/chart" uri="{C3380CC4-5D6E-409C-BE32-E72D297353CC}">
                <c16:uniqueId val="{0000000E-9D60-4680-B033-448529BF8FED}"/>
              </c:ext>
            </c:extLst>
          </c:dPt>
          <c:dPt>
            <c:idx val="2"/>
            <c:invertIfNegative val="0"/>
            <c:bubble3D val="0"/>
            <c:spPr>
              <a:noFill/>
              <a:ln w="41275" cap="flat">
                <a:solidFill>
                  <a:srgbClr val="0070C0"/>
                </a:solidFill>
                <a:prstDash val="sysDot"/>
                <a:bevel/>
              </a:ln>
              <a:effectLst/>
            </c:spPr>
            <c:extLst>
              <c:ext xmlns:c16="http://schemas.microsoft.com/office/drawing/2014/chart" uri="{C3380CC4-5D6E-409C-BE32-E72D297353CC}">
                <c16:uniqueId val="{00000010-9D60-4680-B033-448529BF8FED}"/>
              </c:ext>
            </c:extLst>
          </c:dPt>
          <c:dPt>
            <c:idx val="3"/>
            <c:invertIfNegative val="0"/>
            <c:bubble3D val="0"/>
            <c:spPr>
              <a:noFill/>
              <a:ln w="41275" cap="flat">
                <a:solidFill>
                  <a:schemeClr val="accent2">
                    <a:lumMod val="50000"/>
                  </a:schemeClr>
                </a:solidFill>
                <a:prstDash val="sysDot"/>
                <a:bevel/>
              </a:ln>
              <a:effectLst/>
            </c:spPr>
            <c:extLst>
              <c:ext xmlns:c16="http://schemas.microsoft.com/office/drawing/2014/chart" uri="{C3380CC4-5D6E-409C-BE32-E72D297353CC}">
                <c16:uniqueId val="{00000012-9D60-4680-B033-448529BF8FED}"/>
              </c:ext>
            </c:extLst>
          </c:dPt>
          <c:dPt>
            <c:idx val="4"/>
            <c:invertIfNegative val="0"/>
            <c:bubble3D val="0"/>
            <c:spPr>
              <a:noFill/>
              <a:ln w="41275" cap="flat">
                <a:solidFill>
                  <a:srgbClr val="7030A0"/>
                </a:solidFill>
                <a:prstDash val="sysDot"/>
                <a:bevel/>
              </a:ln>
              <a:effectLst/>
            </c:spPr>
            <c:extLst>
              <c:ext xmlns:c16="http://schemas.microsoft.com/office/drawing/2014/chart" uri="{C3380CC4-5D6E-409C-BE32-E72D297353CC}">
                <c16:uniqueId val="{00000014-9D60-4680-B033-448529BF8FED}"/>
              </c:ext>
            </c:extLst>
          </c:dPt>
          <c:cat>
            <c:strRef>
              <c:f>'Opt2_NOP Tool calcs'!$AA$4:$AA$8</c:f>
              <c:strCache>
                <c:ptCount val="5"/>
                <c:pt idx="0">
                  <c:v>Walk</c:v>
                </c:pt>
                <c:pt idx="1">
                  <c:v>Cycle</c:v>
                </c:pt>
                <c:pt idx="2">
                  <c:v>PT</c:v>
                </c:pt>
                <c:pt idx="3">
                  <c:v>Freight</c:v>
                </c:pt>
                <c:pt idx="4">
                  <c:v>Gnrl Trfc</c:v>
                </c:pt>
              </c:strCache>
            </c:strRef>
          </c:cat>
          <c:val>
            <c:numRef>
              <c:f>'Opt2_NOP Tool calcs'!$AD$13:$AD$17</c:f>
              <c:numCache>
                <c:formatCode>General</c:formatCode>
                <c:ptCount val="5"/>
                <c:pt idx="0">
                  <c:v>4</c:v>
                </c:pt>
                <c:pt idx="1">
                  <c:v>4</c:v>
                </c:pt>
                <c:pt idx="2">
                  <c:v>4</c:v>
                </c:pt>
                <c:pt idx="3">
                  <c:v>4</c:v>
                </c:pt>
                <c:pt idx="4">
                  <c:v>4</c:v>
                </c:pt>
              </c:numCache>
            </c:numRef>
          </c:val>
          <c:extLst>
            <c:ext xmlns:c16="http://schemas.microsoft.com/office/drawing/2014/chart" uri="{C3380CC4-5D6E-409C-BE32-E72D297353CC}">
              <c16:uniqueId val="{00000015-9D60-4680-B033-448529BF8FED}"/>
            </c:ext>
          </c:extLst>
        </c:ser>
        <c:dLbls>
          <c:showLegendKey val="0"/>
          <c:showVal val="0"/>
          <c:showCatName val="0"/>
          <c:showSerName val="0"/>
          <c:showPercent val="0"/>
          <c:showBubbleSize val="0"/>
        </c:dLbls>
        <c:gapWidth val="7"/>
        <c:overlap val="-25"/>
        <c:axId val="790436240"/>
        <c:axId val="790447472"/>
      </c:barChart>
      <c:lineChart>
        <c:grouping val="stacked"/>
        <c:varyColors val="0"/>
        <c:ser>
          <c:idx val="2"/>
          <c:order val="2"/>
          <c:tx>
            <c:strRef>
              <c:f>'Opt2_NOP Tool calcs'!$AG$12</c:f>
              <c:strCache>
                <c:ptCount val="1"/>
                <c:pt idx="0">
                  <c:v>Assessed LoS Score</c:v>
                </c:pt>
              </c:strCache>
            </c:strRef>
          </c:tx>
          <c:spPr>
            <a:ln w="25400" cap="rnd">
              <a:noFill/>
              <a:round/>
            </a:ln>
            <a:effectLst/>
          </c:spPr>
          <c:marker>
            <c:symbol val="dash"/>
            <c:size val="33"/>
            <c:spPr>
              <a:gradFill>
                <a:gsLst>
                  <a:gs pos="0">
                    <a:schemeClr val="accent1">
                      <a:lumMod val="5000"/>
                      <a:lumOff val="95000"/>
                      <a:alpha val="0"/>
                    </a:schemeClr>
                  </a:gs>
                  <a:gs pos="90000">
                    <a:schemeClr val="bg1">
                      <a:alpha val="0"/>
                    </a:schemeClr>
                  </a:gs>
                  <a:gs pos="10000">
                    <a:schemeClr val="bg1">
                      <a:alpha val="0"/>
                    </a:schemeClr>
                  </a:gs>
                  <a:gs pos="50000">
                    <a:schemeClr val="accent5">
                      <a:lumMod val="75000"/>
                    </a:schemeClr>
                  </a:gs>
                  <a:gs pos="100000">
                    <a:schemeClr val="bg1">
                      <a:alpha val="0"/>
                    </a:schemeClr>
                  </a:gs>
                </a:gsLst>
                <a:lin ang="5400000" scaled="1"/>
              </a:gradFill>
              <a:ln w="9525">
                <a:noFill/>
              </a:ln>
              <a:effectLst/>
            </c:spPr>
          </c:marker>
          <c:cat>
            <c:strRef>
              <c:f>'Opt2_NOP Tool calcs'!$AA$4:$AA$8</c:f>
              <c:strCache>
                <c:ptCount val="5"/>
                <c:pt idx="0">
                  <c:v>Walk</c:v>
                </c:pt>
                <c:pt idx="1">
                  <c:v>Cycle</c:v>
                </c:pt>
                <c:pt idx="2">
                  <c:v>PT</c:v>
                </c:pt>
                <c:pt idx="3">
                  <c:v>Freight</c:v>
                </c:pt>
                <c:pt idx="4">
                  <c:v>Gnrl Trfc</c:v>
                </c:pt>
              </c:strCache>
            </c:strRef>
          </c:cat>
          <c:val>
            <c:numRef>
              <c:f>'Opt2_NOP Tool calcs'!$AG$13:$AG$17</c:f>
              <c:numCache>
                <c:formatCode>General</c:formatCode>
                <c:ptCount val="5"/>
                <c:pt idx="0">
                  <c:v>3</c:v>
                </c:pt>
                <c:pt idx="1">
                  <c:v>4</c:v>
                </c:pt>
                <c:pt idx="2">
                  <c:v>1</c:v>
                </c:pt>
                <c:pt idx="3">
                  <c:v>1</c:v>
                </c:pt>
                <c:pt idx="4">
                  <c:v>1</c:v>
                </c:pt>
              </c:numCache>
            </c:numRef>
          </c:val>
          <c:smooth val="0"/>
          <c:extLst>
            <c:ext xmlns:c16="http://schemas.microsoft.com/office/drawing/2014/chart" uri="{C3380CC4-5D6E-409C-BE32-E72D297353CC}">
              <c16:uniqueId val="{00000016-9D60-4680-B033-448529BF8FED}"/>
            </c:ext>
          </c:extLst>
        </c:ser>
        <c:dLbls>
          <c:showLegendKey val="0"/>
          <c:showVal val="0"/>
          <c:showCatName val="0"/>
          <c:showSerName val="0"/>
          <c:showPercent val="0"/>
          <c:showBubbleSize val="0"/>
        </c:dLbls>
        <c:marker val="1"/>
        <c:smooth val="0"/>
        <c:axId val="790436240"/>
        <c:axId val="790447472"/>
      </c:lineChart>
      <c:catAx>
        <c:axId val="19106639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bg1"/>
                </a:solidFill>
                <a:latin typeface="+mn-lt"/>
                <a:ea typeface="+mn-ea"/>
                <a:cs typeface="+mn-cs"/>
              </a:defRPr>
            </a:pPr>
            <a:endParaRPr lang="en-US"/>
          </a:p>
        </c:txPr>
        <c:crossAx val="1910664400"/>
        <c:crosses val="autoZero"/>
        <c:auto val="1"/>
        <c:lblAlgn val="ctr"/>
        <c:lblOffset val="100"/>
        <c:noMultiLvlLbl val="0"/>
      </c:catAx>
      <c:valAx>
        <c:axId val="1910664400"/>
        <c:scaling>
          <c:orientation val="minMax"/>
          <c:max val="7"/>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910663984"/>
        <c:crosses val="autoZero"/>
        <c:crossBetween val="between"/>
      </c:valAx>
      <c:valAx>
        <c:axId val="790447472"/>
        <c:scaling>
          <c:orientation val="minMax"/>
          <c:max val="7"/>
        </c:scaling>
        <c:delete val="1"/>
        <c:axPos val="r"/>
        <c:numFmt formatCode="General" sourceLinked="1"/>
        <c:majorTickMark val="out"/>
        <c:minorTickMark val="none"/>
        <c:tickLblPos val="nextTo"/>
        <c:crossAx val="790436240"/>
        <c:crosses val="max"/>
        <c:crossBetween val="between"/>
      </c:valAx>
      <c:catAx>
        <c:axId val="790436240"/>
        <c:scaling>
          <c:orientation val="minMax"/>
        </c:scaling>
        <c:delete val="1"/>
        <c:axPos val="b"/>
        <c:numFmt formatCode="General" sourceLinked="1"/>
        <c:majorTickMark val="out"/>
        <c:minorTickMark val="none"/>
        <c:tickLblPos val="nextTo"/>
        <c:crossAx val="790447472"/>
        <c:crosses val="autoZero"/>
        <c:auto val="1"/>
        <c:lblAlgn val="ctr"/>
        <c:lblOffset val="100"/>
        <c:noMultiLvlLbl val="0"/>
      </c:catAx>
      <c:spPr>
        <a:solidFill>
          <a:schemeClr val="bg1">
            <a:lumMod val="95000"/>
          </a:schemeClr>
        </a:solidFill>
        <a:ln>
          <a:solidFill>
            <a:schemeClr val="bg1">
              <a:lumMod val="75000"/>
            </a:schemeClr>
          </a:solidFill>
          <a:round/>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5.svg"/></Relationships>
</file>

<file path=xl/drawings/_rels/drawing10.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9.emf"/><Relationship Id="rId1" Type="http://schemas.openxmlformats.org/officeDocument/2006/relationships/image" Target="../media/image18.png"/><Relationship Id="rId4" Type="http://schemas.openxmlformats.org/officeDocument/2006/relationships/image" Target="../media/image21.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svg"/><Relationship Id="rId13" Type="http://schemas.openxmlformats.org/officeDocument/2006/relationships/chart" Target="../charts/chart3.xml"/><Relationship Id="rId3" Type="http://schemas.openxmlformats.org/officeDocument/2006/relationships/image" Target="../media/image6.png"/><Relationship Id="rId7" Type="http://schemas.openxmlformats.org/officeDocument/2006/relationships/image" Target="../media/image10.png"/><Relationship Id="rId12" Type="http://schemas.openxmlformats.org/officeDocument/2006/relationships/image" Target="../media/image15.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9.svg"/><Relationship Id="rId11" Type="http://schemas.openxmlformats.org/officeDocument/2006/relationships/image" Target="../media/image14.png"/><Relationship Id="rId5" Type="http://schemas.openxmlformats.org/officeDocument/2006/relationships/image" Target="../media/image8.png"/><Relationship Id="rId10" Type="http://schemas.openxmlformats.org/officeDocument/2006/relationships/image" Target="../media/image13.svg"/><Relationship Id="rId4" Type="http://schemas.openxmlformats.org/officeDocument/2006/relationships/image" Target="../media/image7.svg"/><Relationship Id="rId9" Type="http://schemas.openxmlformats.org/officeDocument/2006/relationships/image" Target="../media/image12.png"/></Relationships>
</file>

<file path=xl/drawings/_rels/drawing5.xml.rels><?xml version="1.0" encoding="UTF-8" standalone="yes"?>
<Relationships xmlns="http://schemas.openxmlformats.org/package/2006/relationships"><Relationship Id="rId8" Type="http://schemas.openxmlformats.org/officeDocument/2006/relationships/image" Target="../media/image11.svg"/><Relationship Id="rId3" Type="http://schemas.openxmlformats.org/officeDocument/2006/relationships/image" Target="../media/image6.png"/><Relationship Id="rId7" Type="http://schemas.openxmlformats.org/officeDocument/2006/relationships/image" Target="../media/image10.png"/><Relationship Id="rId12" Type="http://schemas.openxmlformats.org/officeDocument/2006/relationships/image" Target="../media/image15.svg"/><Relationship Id="rId2" Type="http://schemas.openxmlformats.org/officeDocument/2006/relationships/chart" Target="../charts/chart4.xml"/><Relationship Id="rId1" Type="http://schemas.openxmlformats.org/officeDocument/2006/relationships/image" Target="../media/image16.png"/><Relationship Id="rId6" Type="http://schemas.openxmlformats.org/officeDocument/2006/relationships/image" Target="../media/image9.svg"/><Relationship Id="rId11" Type="http://schemas.openxmlformats.org/officeDocument/2006/relationships/image" Target="../media/image14.png"/><Relationship Id="rId5" Type="http://schemas.openxmlformats.org/officeDocument/2006/relationships/image" Target="../media/image8.png"/><Relationship Id="rId10" Type="http://schemas.openxmlformats.org/officeDocument/2006/relationships/image" Target="../media/image13.svg"/><Relationship Id="rId4" Type="http://schemas.openxmlformats.org/officeDocument/2006/relationships/image" Target="../media/image7.svg"/><Relationship Id="rId9" Type="http://schemas.openxmlformats.org/officeDocument/2006/relationships/image" Target="../media/image12.png"/></Relationships>
</file>

<file path=xl/drawings/_rels/drawing7.xml.rels><?xml version="1.0" encoding="UTF-8" standalone="yes"?>
<Relationships xmlns="http://schemas.openxmlformats.org/package/2006/relationships"><Relationship Id="rId8" Type="http://schemas.openxmlformats.org/officeDocument/2006/relationships/image" Target="../media/image11.svg"/><Relationship Id="rId3" Type="http://schemas.openxmlformats.org/officeDocument/2006/relationships/image" Target="../media/image6.png"/><Relationship Id="rId7" Type="http://schemas.openxmlformats.org/officeDocument/2006/relationships/image" Target="../media/image10.png"/><Relationship Id="rId12" Type="http://schemas.openxmlformats.org/officeDocument/2006/relationships/image" Target="../media/image15.svg"/><Relationship Id="rId2" Type="http://schemas.openxmlformats.org/officeDocument/2006/relationships/chart" Target="../charts/chart5.xml"/><Relationship Id="rId1" Type="http://schemas.openxmlformats.org/officeDocument/2006/relationships/image" Target="../media/image16.png"/><Relationship Id="rId6" Type="http://schemas.openxmlformats.org/officeDocument/2006/relationships/image" Target="../media/image9.svg"/><Relationship Id="rId11" Type="http://schemas.openxmlformats.org/officeDocument/2006/relationships/image" Target="../media/image14.png"/><Relationship Id="rId5" Type="http://schemas.openxmlformats.org/officeDocument/2006/relationships/image" Target="../media/image8.png"/><Relationship Id="rId10" Type="http://schemas.openxmlformats.org/officeDocument/2006/relationships/image" Target="../media/image13.svg"/><Relationship Id="rId4" Type="http://schemas.openxmlformats.org/officeDocument/2006/relationships/image" Target="../media/image7.svg"/><Relationship Id="rId9" Type="http://schemas.openxmlformats.org/officeDocument/2006/relationships/image" Target="../media/image1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43</xdr:row>
      <xdr:rowOff>304800</xdr:rowOff>
    </xdr:from>
    <xdr:to>
      <xdr:col>0</xdr:col>
      <xdr:colOff>537210</xdr:colOff>
      <xdr:row>44</xdr:row>
      <xdr:rowOff>219802</xdr:rowOff>
    </xdr:to>
    <xdr:pic>
      <xdr:nvPicPr>
        <xdr:cNvPr id="10" name="Graphic 9" descr="City with solid fill">
          <a:extLst>
            <a:ext uri="{FF2B5EF4-FFF2-40B4-BE49-F238E27FC236}">
              <a16:creationId xmlns:a16="http://schemas.microsoft.com/office/drawing/2014/main" id="{E380CF0D-EBC7-8CA3-A33B-C14E1C685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7150" y="9763125"/>
          <a:ext cx="485775" cy="488465"/>
        </a:xfrm>
        <a:prstGeom prst="rect">
          <a:avLst/>
        </a:prstGeom>
      </xdr:spPr>
    </xdr:pic>
    <xdr:clientData/>
  </xdr:twoCellAnchor>
  <xdr:twoCellAnchor editAs="oneCell">
    <xdr:from>
      <xdr:col>0</xdr:col>
      <xdr:colOff>71804</xdr:colOff>
      <xdr:row>47</xdr:row>
      <xdr:rowOff>161193</xdr:rowOff>
    </xdr:from>
    <xdr:to>
      <xdr:col>0</xdr:col>
      <xdr:colOff>552089</xdr:colOff>
      <xdr:row>48</xdr:row>
      <xdr:rowOff>213213</xdr:rowOff>
    </xdr:to>
    <xdr:pic>
      <xdr:nvPicPr>
        <xdr:cNvPr id="4" name="Graphic 3" descr="Cycling with solid fill">
          <a:extLst>
            <a:ext uri="{FF2B5EF4-FFF2-40B4-BE49-F238E27FC236}">
              <a16:creationId xmlns:a16="http://schemas.microsoft.com/office/drawing/2014/main" id="{0E2B34F4-1A5F-8DCE-68E8-7EC9D2A0983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71804" y="12800135"/>
          <a:ext cx="480285" cy="48357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34</xdr:col>
      <xdr:colOff>1369558</xdr:colOff>
      <xdr:row>45</xdr:row>
      <xdr:rowOff>46944</xdr:rowOff>
    </xdr:from>
    <xdr:to>
      <xdr:col>40</xdr:col>
      <xdr:colOff>1406622</xdr:colOff>
      <xdr:row>59</xdr:row>
      <xdr:rowOff>110586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val="0"/>
            </a:ext>
          </a:extLst>
        </a:blip>
        <a:stretch>
          <a:fillRect/>
        </a:stretch>
      </xdr:blipFill>
      <xdr:spPr>
        <a:xfrm>
          <a:off x="15823746" y="10286319"/>
          <a:ext cx="6274986" cy="2719212"/>
        </a:xfrm>
        <a:prstGeom prst="rect">
          <a:avLst/>
        </a:prstGeom>
      </xdr:spPr>
    </xdr:pic>
    <xdr:clientData/>
  </xdr:twoCellAnchor>
  <xdr:twoCellAnchor editAs="oneCell">
    <xdr:from>
      <xdr:col>44</xdr:col>
      <xdr:colOff>114301</xdr:colOff>
      <xdr:row>43</xdr:row>
      <xdr:rowOff>152400</xdr:rowOff>
    </xdr:from>
    <xdr:to>
      <xdr:col>50</xdr:col>
      <xdr:colOff>220029</xdr:colOff>
      <xdr:row>64</xdr:row>
      <xdr:rowOff>110490</xdr:rowOff>
    </xdr:to>
    <xdr:pic>
      <xdr:nvPicPr>
        <xdr:cNvPr id="3" name="Picture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email">
          <a:extLst>
            <a:ext uri="{28A0092B-C50C-407E-A947-70E740481C1C}">
              <a14:useLocalDpi xmlns:a14="http://schemas.microsoft.com/office/drawing/2010/main" val="0"/>
            </a:ext>
          </a:extLst>
        </a:blip>
        <a:srcRect/>
        <a:stretch>
          <a:fillRect/>
        </a:stretch>
      </xdr:blipFill>
      <xdr:spPr bwMode="auto">
        <a:xfrm>
          <a:off x="23879176" y="10010775"/>
          <a:ext cx="3822382" cy="39300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1447800</xdr:colOff>
      <xdr:row>40</xdr:row>
      <xdr:rowOff>38100</xdr:rowOff>
    </xdr:from>
    <xdr:to>
      <xdr:col>18</xdr:col>
      <xdr:colOff>1063200</xdr:colOff>
      <xdr:row>75</xdr:row>
      <xdr:rowOff>72502</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77100" y="9601200"/>
          <a:ext cx="10683450" cy="6701902"/>
        </a:xfrm>
        <a:prstGeom prst="rect">
          <a:avLst/>
        </a:prstGeom>
      </xdr:spPr>
    </xdr:pic>
    <xdr:clientData/>
  </xdr:twoCellAnchor>
  <xdr:twoCellAnchor editAs="oneCell">
    <xdr:from>
      <xdr:col>34</xdr:col>
      <xdr:colOff>819150</xdr:colOff>
      <xdr:row>6</xdr:row>
      <xdr:rowOff>171450</xdr:rowOff>
    </xdr:from>
    <xdr:to>
      <xdr:col>40</xdr:col>
      <xdr:colOff>111262</xdr:colOff>
      <xdr:row>23</xdr:row>
      <xdr:rowOff>73060</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31680150" y="1771650"/>
          <a:ext cx="5534797" cy="4801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247650</xdr:colOff>
      <xdr:row>14</xdr:row>
      <xdr:rowOff>57150</xdr:rowOff>
    </xdr:from>
    <xdr:to>
      <xdr:col>8</xdr:col>
      <xdr:colOff>828675</xdr:colOff>
      <xdr:row>33</xdr:row>
      <xdr:rowOff>560614</xdr:rowOff>
    </xdr:to>
    <xdr:graphicFrame macro="">
      <xdr:nvGraphicFramePr>
        <xdr:cNvPr id="2" name="Chart 1">
          <a:extLst>
            <a:ext uri="{FF2B5EF4-FFF2-40B4-BE49-F238E27FC236}">
              <a16:creationId xmlns:a16="http://schemas.microsoft.com/office/drawing/2014/main" id="{FF1BEF73-1BA2-C0C2-00A5-9BFC8761C9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40</xdr:row>
      <xdr:rowOff>232995</xdr:rowOff>
    </xdr:from>
    <xdr:to>
      <xdr:col>3</xdr:col>
      <xdr:colOff>983423</xdr:colOff>
      <xdr:row>58</xdr:row>
      <xdr:rowOff>192465</xdr:rowOff>
    </xdr:to>
    <xdr:grpSp>
      <xdr:nvGrpSpPr>
        <xdr:cNvPr id="3" name="Group 2">
          <a:extLst>
            <a:ext uri="{FF2B5EF4-FFF2-40B4-BE49-F238E27FC236}">
              <a16:creationId xmlns:a16="http://schemas.microsoft.com/office/drawing/2014/main" id="{CB2AC4A5-A35E-481B-99F0-5461A08E1266}"/>
            </a:ext>
          </a:extLst>
        </xdr:cNvPr>
        <xdr:cNvGrpSpPr/>
      </xdr:nvGrpSpPr>
      <xdr:grpSpPr>
        <a:xfrm>
          <a:off x="0" y="11548695"/>
          <a:ext cx="5453823" cy="3439270"/>
          <a:chOff x="7095401" y="1740353"/>
          <a:chExt cx="6848136" cy="3720381"/>
        </a:xfrm>
      </xdr:grpSpPr>
      <xdr:grpSp>
        <xdr:nvGrpSpPr>
          <xdr:cNvPr id="4" name="Group 3">
            <a:extLst>
              <a:ext uri="{FF2B5EF4-FFF2-40B4-BE49-F238E27FC236}">
                <a16:creationId xmlns:a16="http://schemas.microsoft.com/office/drawing/2014/main" id="{B2074F4F-6971-109E-168C-F16674EF800A}"/>
              </a:ext>
            </a:extLst>
          </xdr:cNvPr>
          <xdr:cNvGrpSpPr/>
        </xdr:nvGrpSpPr>
        <xdr:grpSpPr>
          <a:xfrm>
            <a:off x="7095401" y="1740353"/>
            <a:ext cx="6848136" cy="3720381"/>
            <a:chOff x="7922087" y="1747899"/>
            <a:chExt cx="4268248" cy="4054874"/>
          </a:xfrm>
        </xdr:grpSpPr>
        <xdr:graphicFrame macro="">
          <xdr:nvGraphicFramePr>
            <xdr:cNvPr id="10" name="Chart 9">
              <a:extLst>
                <a:ext uri="{FF2B5EF4-FFF2-40B4-BE49-F238E27FC236}">
                  <a16:creationId xmlns:a16="http://schemas.microsoft.com/office/drawing/2014/main" id="{2566016C-68A2-BB49-C9E2-B33312A6ECDE}"/>
                </a:ext>
              </a:extLst>
            </xdr:cNvPr>
            <xdr:cNvGraphicFramePr/>
          </xdr:nvGraphicFramePr>
          <xdr:xfrm>
            <a:off x="7922087" y="1747899"/>
            <a:ext cx="4268248" cy="4054874"/>
          </xdr:xfrm>
          <a:graphic>
            <a:graphicData uri="http://schemas.openxmlformats.org/drawingml/2006/chart">
              <c:chart xmlns:c="http://schemas.openxmlformats.org/drawingml/2006/chart" xmlns:r="http://schemas.openxmlformats.org/officeDocument/2006/relationships" r:id="rId2"/>
            </a:graphicData>
          </a:graphic>
        </xdr:graphicFrame>
        <xdr:grpSp>
          <xdr:nvGrpSpPr>
            <xdr:cNvPr id="11" name="Group 10">
              <a:extLst>
                <a:ext uri="{FF2B5EF4-FFF2-40B4-BE49-F238E27FC236}">
                  <a16:creationId xmlns:a16="http://schemas.microsoft.com/office/drawing/2014/main" id="{9E5F776D-9260-1ED6-4BA2-516A02CE5495}"/>
                </a:ext>
              </a:extLst>
            </xdr:cNvPr>
            <xdr:cNvGrpSpPr/>
          </xdr:nvGrpSpPr>
          <xdr:grpSpPr>
            <a:xfrm>
              <a:off x="8627957" y="2114261"/>
              <a:ext cx="3362956" cy="580563"/>
              <a:chOff x="6307860" y="1663722"/>
              <a:chExt cx="3622761" cy="567809"/>
            </a:xfrm>
          </xdr:grpSpPr>
          <xdr:sp macro="" textlink="">
            <xdr:nvSpPr>
              <xdr:cNvPr id="19" name="Rectangle 18">
                <a:extLst>
                  <a:ext uri="{FF2B5EF4-FFF2-40B4-BE49-F238E27FC236}">
                    <a16:creationId xmlns:a16="http://schemas.microsoft.com/office/drawing/2014/main" id="{A5305D71-18D6-0CFA-7E2E-298B4D52F4EE}"/>
                  </a:ext>
                </a:extLst>
              </xdr:cNvPr>
              <xdr:cNvSpPr/>
            </xdr:nvSpPr>
            <xdr:spPr>
              <a:xfrm>
                <a:off x="6307860" y="1812808"/>
                <a:ext cx="376568" cy="231928"/>
              </a:xfrm>
              <a:prstGeom prst="rect">
                <a:avLst/>
              </a:prstGeom>
              <a:solidFill>
                <a:schemeClr val="accent1">
                  <a:alpha val="76000"/>
                </a:schemeClr>
              </a:solidFill>
              <a:ln w="9525">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20" name="Rectangle 19">
                <a:extLst>
                  <a:ext uri="{FF2B5EF4-FFF2-40B4-BE49-F238E27FC236}">
                    <a16:creationId xmlns:a16="http://schemas.microsoft.com/office/drawing/2014/main" id="{8662EEE5-FD30-EE50-BD1C-82DE88F4D2C2}"/>
                  </a:ext>
                </a:extLst>
              </xdr:cNvPr>
              <xdr:cNvSpPr/>
            </xdr:nvSpPr>
            <xdr:spPr>
              <a:xfrm>
                <a:off x="7699114" y="1814866"/>
                <a:ext cx="305943" cy="218884"/>
              </a:xfrm>
              <a:prstGeom prst="rect">
                <a:avLst/>
              </a:prstGeom>
              <a:noFill/>
              <a:ln w="25400">
                <a:solidFill>
                  <a:schemeClr val="bg2">
                    <a:lumMod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21" name="TextBox 20">
                <a:extLst>
                  <a:ext uri="{FF2B5EF4-FFF2-40B4-BE49-F238E27FC236}">
                    <a16:creationId xmlns:a16="http://schemas.microsoft.com/office/drawing/2014/main" id="{30D27056-4F25-F73F-7BF7-9189E9EFD9BE}"/>
                  </a:ext>
                </a:extLst>
              </xdr:cNvPr>
              <xdr:cNvSpPr txBox="1"/>
            </xdr:nvSpPr>
            <xdr:spPr>
              <a:xfrm>
                <a:off x="6693421" y="1787212"/>
                <a:ext cx="772871" cy="362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900"/>
                  <a:t>Observed LoS</a:t>
                </a:r>
              </a:p>
            </xdr:txBody>
          </xdr:sp>
          <xdr:sp macro="" textlink="">
            <xdr:nvSpPr>
              <xdr:cNvPr id="22" name="TextBox 21">
                <a:extLst>
                  <a:ext uri="{FF2B5EF4-FFF2-40B4-BE49-F238E27FC236}">
                    <a16:creationId xmlns:a16="http://schemas.microsoft.com/office/drawing/2014/main" id="{AA2E821A-75A7-075D-DFD8-84BEFAB042CA}"/>
                  </a:ext>
                </a:extLst>
              </xdr:cNvPr>
              <xdr:cNvSpPr txBox="1"/>
            </xdr:nvSpPr>
            <xdr:spPr>
              <a:xfrm>
                <a:off x="8006592" y="1663722"/>
                <a:ext cx="852603" cy="5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900"/>
                  <a:t>Acceptable target LoS</a:t>
                </a:r>
              </a:p>
            </xdr:txBody>
          </xdr:sp>
          <xdr:sp macro="" textlink="">
            <xdr:nvSpPr>
              <xdr:cNvPr id="23" name="TextBox 22">
                <a:extLst>
                  <a:ext uri="{FF2B5EF4-FFF2-40B4-BE49-F238E27FC236}">
                    <a16:creationId xmlns:a16="http://schemas.microsoft.com/office/drawing/2014/main" id="{64104C96-078C-9CB9-A93A-2308D7CD8954}"/>
                  </a:ext>
                </a:extLst>
              </xdr:cNvPr>
              <xdr:cNvSpPr txBox="1"/>
            </xdr:nvSpPr>
            <xdr:spPr>
              <a:xfrm>
                <a:off x="9095727" y="1745414"/>
                <a:ext cx="834894" cy="345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900"/>
                  <a:t>Project Impact</a:t>
                </a:r>
              </a:p>
            </xdr:txBody>
          </xdr:sp>
          <xdr:cxnSp macro="">
            <xdr:nvCxnSpPr>
              <xdr:cNvPr id="24" name="Straight Arrow Connector 23">
                <a:extLst>
                  <a:ext uri="{FF2B5EF4-FFF2-40B4-BE49-F238E27FC236}">
                    <a16:creationId xmlns:a16="http://schemas.microsoft.com/office/drawing/2014/main" id="{F68B5AED-96DB-0125-62EA-8254A2E0E30F}"/>
                  </a:ext>
                </a:extLst>
              </xdr:cNvPr>
              <xdr:cNvCxnSpPr/>
            </xdr:nvCxnSpPr>
            <xdr:spPr>
              <a:xfrm flipV="1">
                <a:off x="8902337" y="1818965"/>
                <a:ext cx="0" cy="256441"/>
              </a:xfrm>
              <a:prstGeom prst="straightConnector1">
                <a:avLst/>
              </a:prstGeom>
              <a:ln w="38100">
                <a:solidFill>
                  <a:srgbClr val="0070C0"/>
                </a:solidFill>
                <a:tailEnd type="arrow"/>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grpSp>
        <xdr:grpSp>
          <xdr:nvGrpSpPr>
            <xdr:cNvPr id="12" name="Group 11">
              <a:extLst>
                <a:ext uri="{FF2B5EF4-FFF2-40B4-BE49-F238E27FC236}">
                  <a16:creationId xmlns:a16="http://schemas.microsoft.com/office/drawing/2014/main" id="{86EF4F17-E6D4-F909-ADA6-EFC448C715BF}"/>
                </a:ext>
              </a:extLst>
            </xdr:cNvPr>
            <xdr:cNvGrpSpPr/>
          </xdr:nvGrpSpPr>
          <xdr:grpSpPr>
            <a:xfrm>
              <a:off x="8023774" y="2838450"/>
              <a:ext cx="273096" cy="2032463"/>
              <a:chOff x="5983113" y="2924175"/>
              <a:chExt cx="282846" cy="1931756"/>
            </a:xfrm>
          </xdr:grpSpPr>
          <xdr:sp macro="" textlink="">
            <xdr:nvSpPr>
              <xdr:cNvPr id="13" name="TextBox 12">
                <a:extLst>
                  <a:ext uri="{FF2B5EF4-FFF2-40B4-BE49-F238E27FC236}">
                    <a16:creationId xmlns:a16="http://schemas.microsoft.com/office/drawing/2014/main" id="{60A99A25-65EA-4B72-9DBD-0372F7373612}"/>
                  </a:ext>
                </a:extLst>
              </xdr:cNvPr>
              <xdr:cNvSpPr txBox="1"/>
            </xdr:nvSpPr>
            <xdr:spPr>
              <a:xfrm>
                <a:off x="5983114" y="2924175"/>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A</a:t>
                </a:r>
              </a:p>
            </xdr:txBody>
          </xdr:sp>
          <xdr:sp macro="" textlink="">
            <xdr:nvSpPr>
              <xdr:cNvPr id="14" name="TextBox 13">
                <a:extLst>
                  <a:ext uri="{FF2B5EF4-FFF2-40B4-BE49-F238E27FC236}">
                    <a16:creationId xmlns:a16="http://schemas.microsoft.com/office/drawing/2014/main" id="{C2829BD5-109D-EDF1-2F76-9A592E3A341F}"/>
                  </a:ext>
                </a:extLst>
              </xdr:cNvPr>
              <xdr:cNvSpPr txBox="1"/>
            </xdr:nvSpPr>
            <xdr:spPr>
              <a:xfrm>
                <a:off x="5983120" y="3265454"/>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B</a:t>
                </a:r>
              </a:p>
            </xdr:txBody>
          </xdr:sp>
          <xdr:sp macro="" textlink="">
            <xdr:nvSpPr>
              <xdr:cNvPr id="15" name="TextBox 14">
                <a:extLst>
                  <a:ext uri="{FF2B5EF4-FFF2-40B4-BE49-F238E27FC236}">
                    <a16:creationId xmlns:a16="http://schemas.microsoft.com/office/drawing/2014/main" id="{D03A09BE-1A45-8AE7-995D-64DEE8590EA1}"/>
                  </a:ext>
                </a:extLst>
              </xdr:cNvPr>
              <xdr:cNvSpPr txBox="1"/>
            </xdr:nvSpPr>
            <xdr:spPr>
              <a:xfrm>
                <a:off x="5983113" y="3595590"/>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C</a:t>
                </a:r>
              </a:p>
            </xdr:txBody>
          </xdr:sp>
          <xdr:sp macro="" textlink="">
            <xdr:nvSpPr>
              <xdr:cNvPr id="16" name="TextBox 15">
                <a:extLst>
                  <a:ext uri="{FF2B5EF4-FFF2-40B4-BE49-F238E27FC236}">
                    <a16:creationId xmlns:a16="http://schemas.microsoft.com/office/drawing/2014/main" id="{76719C4B-64FA-CA0A-B366-D26E776F227A}"/>
                  </a:ext>
                </a:extLst>
              </xdr:cNvPr>
              <xdr:cNvSpPr txBox="1"/>
            </xdr:nvSpPr>
            <xdr:spPr>
              <a:xfrm>
                <a:off x="5989734" y="3925723"/>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D</a:t>
                </a:r>
              </a:p>
            </xdr:txBody>
          </xdr:sp>
          <xdr:sp macro="" textlink="">
            <xdr:nvSpPr>
              <xdr:cNvPr id="17" name="TextBox 16">
                <a:extLst>
                  <a:ext uri="{FF2B5EF4-FFF2-40B4-BE49-F238E27FC236}">
                    <a16:creationId xmlns:a16="http://schemas.microsoft.com/office/drawing/2014/main" id="{09BECCF8-D7AB-1BA7-513F-DC8249420EC4}"/>
                  </a:ext>
                </a:extLst>
              </xdr:cNvPr>
              <xdr:cNvSpPr txBox="1"/>
            </xdr:nvSpPr>
            <xdr:spPr>
              <a:xfrm>
                <a:off x="5983118" y="4255858"/>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E</a:t>
                </a:r>
              </a:p>
            </xdr:txBody>
          </xdr:sp>
          <xdr:sp macro="" textlink="">
            <xdr:nvSpPr>
              <xdr:cNvPr id="18" name="TextBox 17">
                <a:extLst>
                  <a:ext uri="{FF2B5EF4-FFF2-40B4-BE49-F238E27FC236}">
                    <a16:creationId xmlns:a16="http://schemas.microsoft.com/office/drawing/2014/main" id="{43EA19B8-CD47-7DAB-BDB3-76D724161E13}"/>
                  </a:ext>
                </a:extLst>
              </xdr:cNvPr>
              <xdr:cNvSpPr txBox="1"/>
            </xdr:nvSpPr>
            <xdr:spPr>
              <a:xfrm>
                <a:off x="5983118" y="4598756"/>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F</a:t>
                </a:r>
              </a:p>
            </xdr:txBody>
          </xdr:sp>
        </xdr:grpSp>
      </xdr:grpSp>
      <xdr:pic>
        <xdr:nvPicPr>
          <xdr:cNvPr id="5" name="Graphic 18" descr="Truck with solid fill">
            <a:extLst>
              <a:ext uri="{FF2B5EF4-FFF2-40B4-BE49-F238E27FC236}">
                <a16:creationId xmlns:a16="http://schemas.microsoft.com/office/drawing/2014/main" id="{7D4DD030-116F-743D-9D16-93B4D3EE5933}"/>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1481750" y="4874064"/>
            <a:ext cx="632941" cy="500485"/>
          </a:xfrm>
          <a:prstGeom prst="rect">
            <a:avLst/>
          </a:prstGeom>
        </xdr:spPr>
      </xdr:pic>
      <xdr:pic>
        <xdr:nvPicPr>
          <xdr:cNvPr id="6" name="Graphic 20" descr="Bus with solid fill">
            <a:extLst>
              <a:ext uri="{FF2B5EF4-FFF2-40B4-BE49-F238E27FC236}">
                <a16:creationId xmlns:a16="http://schemas.microsoft.com/office/drawing/2014/main" id="{7A92B640-7744-5A38-2703-1A55D2EC02DA}"/>
              </a:ext>
            </a:extLst>
          </xdr:cNvPr>
          <xdr:cNvPicPr>
            <a:picLocks/>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316687" y="4869911"/>
            <a:ext cx="632941" cy="500485"/>
          </a:xfrm>
          <a:prstGeom prst="rect">
            <a:avLst/>
          </a:prstGeom>
        </xdr:spPr>
      </xdr:pic>
      <xdr:pic>
        <xdr:nvPicPr>
          <xdr:cNvPr id="7" name="Graphic 22" descr="Car with solid fill">
            <a:extLst>
              <a:ext uri="{FF2B5EF4-FFF2-40B4-BE49-F238E27FC236}">
                <a16:creationId xmlns:a16="http://schemas.microsoft.com/office/drawing/2014/main" id="{7D0F98BA-B378-2D71-2B24-E6F7B4923844}"/>
              </a:ext>
            </a:extLst>
          </xdr:cNvPr>
          <xdr:cNvPicPr>
            <a:picLocks/>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2631065" y="4874918"/>
            <a:ext cx="634460" cy="500485"/>
          </a:xfrm>
          <a:prstGeom prst="rect">
            <a:avLst/>
          </a:prstGeom>
        </xdr:spPr>
      </xdr:pic>
      <xdr:pic>
        <xdr:nvPicPr>
          <xdr:cNvPr id="8" name="Graphic 24" descr="Cycling with solid fill">
            <a:extLst>
              <a:ext uri="{FF2B5EF4-FFF2-40B4-BE49-F238E27FC236}">
                <a16:creationId xmlns:a16="http://schemas.microsoft.com/office/drawing/2014/main" id="{60B6A737-9E50-6CB3-3417-44C512C8CE1C}"/>
              </a:ext>
            </a:extLst>
          </xdr:cNvPr>
          <xdr:cNvPicPr>
            <a:picLocks/>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9115807" y="4862029"/>
            <a:ext cx="634460" cy="500485"/>
          </a:xfrm>
          <a:prstGeom prst="rect">
            <a:avLst/>
          </a:prstGeom>
        </xdr:spPr>
      </xdr:pic>
      <xdr:pic>
        <xdr:nvPicPr>
          <xdr:cNvPr id="9" name="Graphic 26" descr="Walk with solid fill">
            <a:extLst>
              <a:ext uri="{FF2B5EF4-FFF2-40B4-BE49-F238E27FC236}">
                <a16:creationId xmlns:a16="http://schemas.microsoft.com/office/drawing/2014/main" id="{8A696D0F-10A2-F48A-E612-9C43FDA8E3FD}"/>
              </a:ext>
            </a:extLst>
          </xdr:cNvPr>
          <xdr:cNvPicPr>
            <a:picLocks/>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7988220" y="4870759"/>
            <a:ext cx="623415" cy="500485"/>
          </a:xfrm>
          <a:prstGeom prst="rect">
            <a:avLst/>
          </a:prstGeom>
        </xdr:spPr>
      </xdr:pic>
    </xdr:grpSp>
    <xdr:clientData/>
  </xdr:twoCellAnchor>
  <xdr:twoCellAnchor>
    <xdr:from>
      <xdr:col>4</xdr:col>
      <xdr:colOff>7936</xdr:colOff>
      <xdr:row>40</xdr:row>
      <xdr:rowOff>234582</xdr:rowOff>
    </xdr:from>
    <xdr:to>
      <xdr:col>8</xdr:col>
      <xdr:colOff>984736</xdr:colOff>
      <xdr:row>58</xdr:row>
      <xdr:rowOff>194052</xdr:rowOff>
    </xdr:to>
    <xdr:grpSp>
      <xdr:nvGrpSpPr>
        <xdr:cNvPr id="26" name="Group 25">
          <a:extLst>
            <a:ext uri="{FF2B5EF4-FFF2-40B4-BE49-F238E27FC236}">
              <a16:creationId xmlns:a16="http://schemas.microsoft.com/office/drawing/2014/main" id="{DEC5E76B-AF76-4241-9271-6CD3BE4028AE}"/>
            </a:ext>
          </a:extLst>
        </xdr:cNvPr>
        <xdr:cNvGrpSpPr/>
      </xdr:nvGrpSpPr>
      <xdr:grpSpPr>
        <a:xfrm>
          <a:off x="5608636" y="11550282"/>
          <a:ext cx="5498000" cy="3439270"/>
          <a:chOff x="7066584" y="1731758"/>
          <a:chExt cx="6905374" cy="3720381"/>
        </a:xfrm>
      </xdr:grpSpPr>
      <xdr:grpSp>
        <xdr:nvGrpSpPr>
          <xdr:cNvPr id="27" name="Group 26">
            <a:extLst>
              <a:ext uri="{FF2B5EF4-FFF2-40B4-BE49-F238E27FC236}">
                <a16:creationId xmlns:a16="http://schemas.microsoft.com/office/drawing/2014/main" id="{2E49E435-326E-5172-4F45-96DDFD08E91E}"/>
              </a:ext>
            </a:extLst>
          </xdr:cNvPr>
          <xdr:cNvGrpSpPr/>
        </xdr:nvGrpSpPr>
        <xdr:grpSpPr>
          <a:xfrm>
            <a:off x="7066584" y="1731758"/>
            <a:ext cx="6905374" cy="3720381"/>
            <a:chOff x="7904126" y="1738531"/>
            <a:chExt cx="4303923" cy="4054874"/>
          </a:xfrm>
        </xdr:grpSpPr>
        <xdr:graphicFrame macro="">
          <xdr:nvGraphicFramePr>
            <xdr:cNvPr id="33" name="Chart 32">
              <a:extLst>
                <a:ext uri="{FF2B5EF4-FFF2-40B4-BE49-F238E27FC236}">
                  <a16:creationId xmlns:a16="http://schemas.microsoft.com/office/drawing/2014/main" id="{306C5458-F2E0-B388-2505-8BF8B5BA5FCB}"/>
                </a:ext>
              </a:extLst>
            </xdr:cNvPr>
            <xdr:cNvGraphicFramePr/>
          </xdr:nvGraphicFramePr>
          <xdr:xfrm>
            <a:off x="7904126" y="1738531"/>
            <a:ext cx="4303923" cy="4054874"/>
          </xdr:xfrm>
          <a:graphic>
            <a:graphicData uri="http://schemas.openxmlformats.org/drawingml/2006/chart">
              <c:chart xmlns:c="http://schemas.openxmlformats.org/drawingml/2006/chart" xmlns:r="http://schemas.openxmlformats.org/officeDocument/2006/relationships" r:id="rId13"/>
            </a:graphicData>
          </a:graphic>
        </xdr:graphicFrame>
        <xdr:grpSp>
          <xdr:nvGrpSpPr>
            <xdr:cNvPr id="34" name="Group 33">
              <a:extLst>
                <a:ext uri="{FF2B5EF4-FFF2-40B4-BE49-F238E27FC236}">
                  <a16:creationId xmlns:a16="http://schemas.microsoft.com/office/drawing/2014/main" id="{2F07C3B3-D0B8-CD86-224F-71A030404F94}"/>
                </a:ext>
              </a:extLst>
            </xdr:cNvPr>
            <xdr:cNvGrpSpPr/>
          </xdr:nvGrpSpPr>
          <xdr:grpSpPr>
            <a:xfrm>
              <a:off x="8627957" y="2114261"/>
              <a:ext cx="3362956" cy="580563"/>
              <a:chOff x="6307860" y="1663722"/>
              <a:chExt cx="3622761" cy="567809"/>
            </a:xfrm>
          </xdr:grpSpPr>
          <xdr:sp macro="" textlink="">
            <xdr:nvSpPr>
              <xdr:cNvPr id="42" name="Rectangle 41">
                <a:extLst>
                  <a:ext uri="{FF2B5EF4-FFF2-40B4-BE49-F238E27FC236}">
                    <a16:creationId xmlns:a16="http://schemas.microsoft.com/office/drawing/2014/main" id="{F52E9E93-1392-A104-E595-014C921197F8}"/>
                  </a:ext>
                </a:extLst>
              </xdr:cNvPr>
              <xdr:cNvSpPr/>
            </xdr:nvSpPr>
            <xdr:spPr>
              <a:xfrm>
                <a:off x="6307860" y="1812808"/>
                <a:ext cx="376568" cy="231928"/>
              </a:xfrm>
              <a:prstGeom prst="rect">
                <a:avLst/>
              </a:prstGeom>
              <a:solidFill>
                <a:schemeClr val="accent1">
                  <a:alpha val="76000"/>
                </a:schemeClr>
              </a:solidFill>
              <a:ln w="9525">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43" name="Rectangle 42">
                <a:extLst>
                  <a:ext uri="{FF2B5EF4-FFF2-40B4-BE49-F238E27FC236}">
                    <a16:creationId xmlns:a16="http://schemas.microsoft.com/office/drawing/2014/main" id="{929B3B49-B142-0B29-7A18-C013372800B9}"/>
                  </a:ext>
                </a:extLst>
              </xdr:cNvPr>
              <xdr:cNvSpPr/>
            </xdr:nvSpPr>
            <xdr:spPr>
              <a:xfrm>
                <a:off x="7699114" y="1814866"/>
                <a:ext cx="305943" cy="218884"/>
              </a:xfrm>
              <a:prstGeom prst="rect">
                <a:avLst/>
              </a:prstGeom>
              <a:noFill/>
              <a:ln w="25400">
                <a:solidFill>
                  <a:schemeClr val="bg2">
                    <a:lumMod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44" name="TextBox 43">
                <a:extLst>
                  <a:ext uri="{FF2B5EF4-FFF2-40B4-BE49-F238E27FC236}">
                    <a16:creationId xmlns:a16="http://schemas.microsoft.com/office/drawing/2014/main" id="{5D50656C-23B2-CD18-EFAE-AF4FE77E6649}"/>
                  </a:ext>
                </a:extLst>
              </xdr:cNvPr>
              <xdr:cNvSpPr txBox="1"/>
            </xdr:nvSpPr>
            <xdr:spPr>
              <a:xfrm>
                <a:off x="6693421" y="1787212"/>
                <a:ext cx="772871" cy="362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900"/>
                  <a:t>Observed LoS</a:t>
                </a:r>
              </a:p>
            </xdr:txBody>
          </xdr:sp>
          <xdr:sp macro="" textlink="">
            <xdr:nvSpPr>
              <xdr:cNvPr id="45" name="TextBox 44">
                <a:extLst>
                  <a:ext uri="{FF2B5EF4-FFF2-40B4-BE49-F238E27FC236}">
                    <a16:creationId xmlns:a16="http://schemas.microsoft.com/office/drawing/2014/main" id="{AA465B75-BF69-C4E8-F8E9-574AE325D04F}"/>
                  </a:ext>
                </a:extLst>
              </xdr:cNvPr>
              <xdr:cNvSpPr txBox="1"/>
            </xdr:nvSpPr>
            <xdr:spPr>
              <a:xfrm>
                <a:off x="8006592" y="1663722"/>
                <a:ext cx="852603" cy="5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900"/>
                  <a:t>Acceptable target LoS</a:t>
                </a:r>
              </a:p>
            </xdr:txBody>
          </xdr:sp>
          <xdr:sp macro="" textlink="">
            <xdr:nvSpPr>
              <xdr:cNvPr id="46" name="TextBox 45">
                <a:extLst>
                  <a:ext uri="{FF2B5EF4-FFF2-40B4-BE49-F238E27FC236}">
                    <a16:creationId xmlns:a16="http://schemas.microsoft.com/office/drawing/2014/main" id="{1457DD89-2A09-AF43-4DEA-2B47C1CE4BC8}"/>
                  </a:ext>
                </a:extLst>
              </xdr:cNvPr>
              <xdr:cNvSpPr txBox="1"/>
            </xdr:nvSpPr>
            <xdr:spPr>
              <a:xfrm>
                <a:off x="9095727" y="1745414"/>
                <a:ext cx="834894" cy="345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900"/>
                  <a:t>Project Impact</a:t>
                </a:r>
              </a:p>
            </xdr:txBody>
          </xdr:sp>
          <xdr:cxnSp macro="">
            <xdr:nvCxnSpPr>
              <xdr:cNvPr id="47" name="Straight Arrow Connector 46">
                <a:extLst>
                  <a:ext uri="{FF2B5EF4-FFF2-40B4-BE49-F238E27FC236}">
                    <a16:creationId xmlns:a16="http://schemas.microsoft.com/office/drawing/2014/main" id="{659F9223-06FB-CA62-3A2E-DDEA3A89E7DA}"/>
                  </a:ext>
                </a:extLst>
              </xdr:cNvPr>
              <xdr:cNvCxnSpPr/>
            </xdr:nvCxnSpPr>
            <xdr:spPr>
              <a:xfrm flipV="1">
                <a:off x="8902337" y="1818965"/>
                <a:ext cx="0" cy="256441"/>
              </a:xfrm>
              <a:prstGeom prst="straightConnector1">
                <a:avLst/>
              </a:prstGeom>
              <a:ln w="38100">
                <a:solidFill>
                  <a:srgbClr val="0070C0"/>
                </a:solidFill>
                <a:tailEnd type="arrow"/>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grpSp>
        <xdr:grpSp>
          <xdr:nvGrpSpPr>
            <xdr:cNvPr id="35" name="Group 34">
              <a:extLst>
                <a:ext uri="{FF2B5EF4-FFF2-40B4-BE49-F238E27FC236}">
                  <a16:creationId xmlns:a16="http://schemas.microsoft.com/office/drawing/2014/main" id="{4421DE66-0EEF-0213-D369-9AC8A83CFE80}"/>
                </a:ext>
              </a:extLst>
            </xdr:cNvPr>
            <xdr:cNvGrpSpPr/>
          </xdr:nvGrpSpPr>
          <xdr:grpSpPr>
            <a:xfrm>
              <a:off x="8023774" y="2838450"/>
              <a:ext cx="273096" cy="2032463"/>
              <a:chOff x="5983113" y="2924175"/>
              <a:chExt cx="282846" cy="1931756"/>
            </a:xfrm>
          </xdr:grpSpPr>
          <xdr:sp macro="" textlink="">
            <xdr:nvSpPr>
              <xdr:cNvPr id="36" name="TextBox 35">
                <a:extLst>
                  <a:ext uri="{FF2B5EF4-FFF2-40B4-BE49-F238E27FC236}">
                    <a16:creationId xmlns:a16="http://schemas.microsoft.com/office/drawing/2014/main" id="{CB12C0FC-7903-B9E5-71F5-77CA0C6F9F50}"/>
                  </a:ext>
                </a:extLst>
              </xdr:cNvPr>
              <xdr:cNvSpPr txBox="1"/>
            </xdr:nvSpPr>
            <xdr:spPr>
              <a:xfrm>
                <a:off x="5983114" y="2924175"/>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A</a:t>
                </a:r>
              </a:p>
            </xdr:txBody>
          </xdr:sp>
          <xdr:sp macro="" textlink="">
            <xdr:nvSpPr>
              <xdr:cNvPr id="37" name="TextBox 36">
                <a:extLst>
                  <a:ext uri="{FF2B5EF4-FFF2-40B4-BE49-F238E27FC236}">
                    <a16:creationId xmlns:a16="http://schemas.microsoft.com/office/drawing/2014/main" id="{92B1AB71-566D-6A22-029B-CF573D25E4B8}"/>
                  </a:ext>
                </a:extLst>
              </xdr:cNvPr>
              <xdr:cNvSpPr txBox="1"/>
            </xdr:nvSpPr>
            <xdr:spPr>
              <a:xfrm>
                <a:off x="5983120" y="3265454"/>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B</a:t>
                </a:r>
              </a:p>
            </xdr:txBody>
          </xdr:sp>
          <xdr:sp macro="" textlink="">
            <xdr:nvSpPr>
              <xdr:cNvPr id="38" name="TextBox 37">
                <a:extLst>
                  <a:ext uri="{FF2B5EF4-FFF2-40B4-BE49-F238E27FC236}">
                    <a16:creationId xmlns:a16="http://schemas.microsoft.com/office/drawing/2014/main" id="{4D399FD8-4880-ED19-9D34-4F4EAFCAEE89}"/>
                  </a:ext>
                </a:extLst>
              </xdr:cNvPr>
              <xdr:cNvSpPr txBox="1"/>
            </xdr:nvSpPr>
            <xdr:spPr>
              <a:xfrm>
                <a:off x="5983113" y="3595590"/>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C</a:t>
                </a:r>
              </a:p>
            </xdr:txBody>
          </xdr:sp>
          <xdr:sp macro="" textlink="">
            <xdr:nvSpPr>
              <xdr:cNvPr id="39" name="TextBox 38">
                <a:extLst>
                  <a:ext uri="{FF2B5EF4-FFF2-40B4-BE49-F238E27FC236}">
                    <a16:creationId xmlns:a16="http://schemas.microsoft.com/office/drawing/2014/main" id="{6B5B2771-6551-FDD6-35DB-46775489531A}"/>
                  </a:ext>
                </a:extLst>
              </xdr:cNvPr>
              <xdr:cNvSpPr txBox="1"/>
            </xdr:nvSpPr>
            <xdr:spPr>
              <a:xfrm>
                <a:off x="5989734" y="3925723"/>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D</a:t>
                </a:r>
              </a:p>
            </xdr:txBody>
          </xdr:sp>
          <xdr:sp macro="" textlink="">
            <xdr:nvSpPr>
              <xdr:cNvPr id="40" name="TextBox 39">
                <a:extLst>
                  <a:ext uri="{FF2B5EF4-FFF2-40B4-BE49-F238E27FC236}">
                    <a16:creationId xmlns:a16="http://schemas.microsoft.com/office/drawing/2014/main" id="{6FE3B470-6E4E-0737-DCA4-E4AAB52C6C65}"/>
                  </a:ext>
                </a:extLst>
              </xdr:cNvPr>
              <xdr:cNvSpPr txBox="1"/>
            </xdr:nvSpPr>
            <xdr:spPr>
              <a:xfrm>
                <a:off x="5983118" y="4255858"/>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E</a:t>
                </a:r>
              </a:p>
            </xdr:txBody>
          </xdr:sp>
          <xdr:sp macro="" textlink="">
            <xdr:nvSpPr>
              <xdr:cNvPr id="41" name="TextBox 40">
                <a:extLst>
                  <a:ext uri="{FF2B5EF4-FFF2-40B4-BE49-F238E27FC236}">
                    <a16:creationId xmlns:a16="http://schemas.microsoft.com/office/drawing/2014/main" id="{4C125BC3-14B1-452F-7C7C-83B639D16837}"/>
                  </a:ext>
                </a:extLst>
              </xdr:cNvPr>
              <xdr:cNvSpPr txBox="1"/>
            </xdr:nvSpPr>
            <xdr:spPr>
              <a:xfrm>
                <a:off x="5983118" y="4598756"/>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100"/>
                  <a:t>F</a:t>
                </a:r>
              </a:p>
            </xdr:txBody>
          </xdr:sp>
        </xdr:grpSp>
      </xdr:grpSp>
      <xdr:pic>
        <xdr:nvPicPr>
          <xdr:cNvPr id="28" name="Graphic 18" descr="Truck with solid fill">
            <a:extLst>
              <a:ext uri="{FF2B5EF4-FFF2-40B4-BE49-F238E27FC236}">
                <a16:creationId xmlns:a16="http://schemas.microsoft.com/office/drawing/2014/main" id="{59752163-210D-DF79-268D-27E53460F2C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1481750" y="4874064"/>
            <a:ext cx="632941" cy="500485"/>
          </a:xfrm>
          <a:prstGeom prst="rect">
            <a:avLst/>
          </a:prstGeom>
        </xdr:spPr>
      </xdr:pic>
      <xdr:pic>
        <xdr:nvPicPr>
          <xdr:cNvPr id="29" name="Graphic 20" descr="Bus with solid fill">
            <a:extLst>
              <a:ext uri="{FF2B5EF4-FFF2-40B4-BE49-F238E27FC236}">
                <a16:creationId xmlns:a16="http://schemas.microsoft.com/office/drawing/2014/main" id="{E3F67C84-C92C-85C9-BE90-45615822D055}"/>
              </a:ext>
            </a:extLst>
          </xdr:cNvPr>
          <xdr:cNvPicPr>
            <a:picLocks/>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316687" y="4869911"/>
            <a:ext cx="632941" cy="500485"/>
          </a:xfrm>
          <a:prstGeom prst="rect">
            <a:avLst/>
          </a:prstGeom>
        </xdr:spPr>
      </xdr:pic>
      <xdr:pic>
        <xdr:nvPicPr>
          <xdr:cNvPr id="30" name="Graphic 22" descr="Car with solid fill">
            <a:extLst>
              <a:ext uri="{FF2B5EF4-FFF2-40B4-BE49-F238E27FC236}">
                <a16:creationId xmlns:a16="http://schemas.microsoft.com/office/drawing/2014/main" id="{C2CE880B-399B-0C71-0A8C-4E0F6DDB63F8}"/>
              </a:ext>
            </a:extLst>
          </xdr:cNvPr>
          <xdr:cNvPicPr>
            <a:picLocks/>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2631065" y="4874918"/>
            <a:ext cx="634460" cy="500485"/>
          </a:xfrm>
          <a:prstGeom prst="rect">
            <a:avLst/>
          </a:prstGeom>
        </xdr:spPr>
      </xdr:pic>
      <xdr:pic>
        <xdr:nvPicPr>
          <xdr:cNvPr id="31" name="Graphic 24" descr="Cycling with solid fill">
            <a:extLst>
              <a:ext uri="{FF2B5EF4-FFF2-40B4-BE49-F238E27FC236}">
                <a16:creationId xmlns:a16="http://schemas.microsoft.com/office/drawing/2014/main" id="{922B0A19-FCB1-E7DA-CE25-B39F0C1F2670}"/>
              </a:ext>
            </a:extLst>
          </xdr:cNvPr>
          <xdr:cNvPicPr>
            <a:picLocks/>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9115807" y="4862029"/>
            <a:ext cx="634460" cy="500485"/>
          </a:xfrm>
          <a:prstGeom prst="rect">
            <a:avLst/>
          </a:prstGeom>
        </xdr:spPr>
      </xdr:pic>
      <xdr:pic>
        <xdr:nvPicPr>
          <xdr:cNvPr id="32" name="Graphic 26" descr="Walk with solid fill">
            <a:extLst>
              <a:ext uri="{FF2B5EF4-FFF2-40B4-BE49-F238E27FC236}">
                <a16:creationId xmlns:a16="http://schemas.microsoft.com/office/drawing/2014/main" id="{42EF45DE-9334-6B22-5BD7-5068BD7A229F}"/>
              </a:ext>
            </a:extLst>
          </xdr:cNvPr>
          <xdr:cNvPicPr>
            <a:picLocks/>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7988220" y="4870759"/>
            <a:ext cx="623415" cy="500485"/>
          </a:xfrm>
          <a:prstGeom prst="rect">
            <a:avLst/>
          </a:prstGeom>
        </xdr:spPr>
      </xdr:pic>
    </xdr:grpSp>
    <xdr:clientData/>
  </xdr:twoCellAnchor>
</xdr:wsDr>
</file>

<file path=xl/drawings/drawing3.xml><?xml version="1.0" encoding="utf-8"?>
<c:userShapes xmlns:c="http://schemas.openxmlformats.org/drawingml/2006/chart">
  <cdr:relSizeAnchor xmlns:cdr="http://schemas.openxmlformats.org/drawingml/2006/chartDrawing">
    <cdr:from>
      <cdr:x>0.7017</cdr:x>
      <cdr:y>0.12271</cdr:y>
    </cdr:from>
    <cdr:to>
      <cdr:x>0.76239</cdr:x>
      <cdr:y>0.12271</cdr:y>
    </cdr:to>
    <cdr:cxnSp macro="">
      <cdr:nvCxnSpPr>
        <cdr:cNvPr id="3" name="Straight Connector 2">
          <a:extLst xmlns:a="http://schemas.openxmlformats.org/drawingml/2006/main">
            <a:ext uri="{FF2B5EF4-FFF2-40B4-BE49-F238E27FC236}">
              <a16:creationId xmlns:a16="http://schemas.microsoft.com/office/drawing/2014/main" id="{EDAA7874-FB01-4796-98CF-165DE0131EF5}"/>
            </a:ext>
          </a:extLst>
        </cdr:cNvPr>
        <cdr:cNvCxnSpPr/>
      </cdr:nvCxnSpPr>
      <cdr:spPr>
        <a:xfrm xmlns:a="http://schemas.openxmlformats.org/drawingml/2006/main">
          <a:off x="4640885" y="420442"/>
          <a:ext cx="401387" cy="0"/>
        </a:xfrm>
        <a:prstGeom xmlns:a="http://schemas.openxmlformats.org/drawingml/2006/main" prst="line">
          <a:avLst/>
        </a:prstGeom>
        <a:ln xmlns:a="http://schemas.openxmlformats.org/drawingml/2006/main" w="6350"/>
        <a:effectLst xmlns:a="http://schemas.openxmlformats.org/drawingml/2006/main">
          <a:glow rad="25400">
            <a:schemeClr val="accent5">
              <a:lumMod val="75000"/>
              <a:alpha val="21000"/>
            </a:schemeClr>
          </a:glow>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xml><?xml version="1.0" encoding="utf-8"?>
<c:userShapes xmlns:c="http://schemas.openxmlformats.org/drawingml/2006/chart">
  <cdr:relSizeAnchor xmlns:cdr="http://schemas.openxmlformats.org/drawingml/2006/chartDrawing">
    <cdr:from>
      <cdr:x>0.7017</cdr:x>
      <cdr:y>0.12271</cdr:y>
    </cdr:from>
    <cdr:to>
      <cdr:x>0.76239</cdr:x>
      <cdr:y>0.12271</cdr:y>
    </cdr:to>
    <cdr:cxnSp macro="">
      <cdr:nvCxnSpPr>
        <cdr:cNvPr id="3" name="Straight Connector 2">
          <a:extLst xmlns:a="http://schemas.openxmlformats.org/drawingml/2006/main">
            <a:ext uri="{FF2B5EF4-FFF2-40B4-BE49-F238E27FC236}">
              <a16:creationId xmlns:a16="http://schemas.microsoft.com/office/drawing/2014/main" id="{EDAA7874-FB01-4796-98CF-165DE0131EF5}"/>
            </a:ext>
          </a:extLst>
        </cdr:cNvPr>
        <cdr:cNvCxnSpPr/>
      </cdr:nvCxnSpPr>
      <cdr:spPr>
        <a:xfrm xmlns:a="http://schemas.openxmlformats.org/drawingml/2006/main">
          <a:off x="4640885" y="420442"/>
          <a:ext cx="401387" cy="0"/>
        </a:xfrm>
        <a:prstGeom xmlns:a="http://schemas.openxmlformats.org/drawingml/2006/main" prst="line">
          <a:avLst/>
        </a:prstGeom>
        <a:ln xmlns:a="http://schemas.openxmlformats.org/drawingml/2006/main" w="6350"/>
        <a:effectLst xmlns:a="http://schemas.openxmlformats.org/drawingml/2006/main">
          <a:glow rad="25400">
            <a:schemeClr val="accent5">
              <a:lumMod val="75000"/>
              <a:alpha val="21000"/>
            </a:schemeClr>
          </a:glow>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xml><?xml version="1.0" encoding="utf-8"?>
<xdr:wsDr xmlns:xdr="http://schemas.openxmlformats.org/drawingml/2006/spreadsheetDrawing" xmlns:a="http://schemas.openxmlformats.org/drawingml/2006/main">
  <xdr:twoCellAnchor editAs="oneCell">
    <xdr:from>
      <xdr:col>11</xdr:col>
      <xdr:colOff>809625</xdr:colOff>
      <xdr:row>0</xdr:row>
      <xdr:rowOff>0</xdr:rowOff>
    </xdr:from>
    <xdr:to>
      <xdr:col>12</xdr:col>
      <xdr:colOff>1101006</xdr:colOff>
      <xdr:row>1</xdr:row>
      <xdr:rowOff>757555</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val="0"/>
            </a:ext>
          </a:extLst>
        </a:blip>
        <a:stretch>
          <a:fillRect/>
        </a:stretch>
      </xdr:blipFill>
      <xdr:spPr>
        <a:xfrm>
          <a:off x="10210800" y="0"/>
          <a:ext cx="1013434" cy="1019175"/>
        </a:xfrm>
        <a:prstGeom prst="rect">
          <a:avLst/>
        </a:prstGeom>
      </xdr:spPr>
    </xdr:pic>
    <xdr:clientData/>
  </xdr:twoCellAnchor>
  <xdr:twoCellAnchor>
    <xdr:from>
      <xdr:col>6</xdr:col>
      <xdr:colOff>0</xdr:colOff>
      <xdr:row>4</xdr:row>
      <xdr:rowOff>149679</xdr:rowOff>
    </xdr:from>
    <xdr:to>
      <xdr:col>13</xdr:col>
      <xdr:colOff>3385</xdr:colOff>
      <xdr:row>22</xdr:row>
      <xdr:rowOff>54075</xdr:rowOff>
    </xdr:to>
    <xdr:grpSp>
      <xdr:nvGrpSpPr>
        <xdr:cNvPr id="17" name="Group 16">
          <a:extLst>
            <a:ext uri="{FF2B5EF4-FFF2-40B4-BE49-F238E27FC236}">
              <a16:creationId xmlns:a16="http://schemas.microsoft.com/office/drawing/2014/main" id="{00000000-0008-0000-0000-000011000000}"/>
            </a:ext>
          </a:extLst>
        </xdr:cNvPr>
        <xdr:cNvGrpSpPr/>
      </xdr:nvGrpSpPr>
      <xdr:grpSpPr>
        <a:xfrm>
          <a:off x="7966364" y="1927679"/>
          <a:ext cx="7600294" cy="3391123"/>
          <a:chOff x="7105650" y="1740354"/>
          <a:chExt cx="6794708" cy="3762021"/>
        </a:xfrm>
      </xdr:grpSpPr>
      <xdr:grpSp>
        <xdr:nvGrpSpPr>
          <xdr:cNvPr id="5" name="Group 4">
            <a:extLst>
              <a:ext uri="{FF2B5EF4-FFF2-40B4-BE49-F238E27FC236}">
                <a16:creationId xmlns:a16="http://schemas.microsoft.com/office/drawing/2014/main" id="{00000000-0008-0000-0000-000005000000}"/>
              </a:ext>
            </a:extLst>
          </xdr:cNvPr>
          <xdr:cNvGrpSpPr/>
        </xdr:nvGrpSpPr>
        <xdr:grpSpPr>
          <a:xfrm>
            <a:off x="7105650" y="1740354"/>
            <a:ext cx="6794708" cy="3707947"/>
            <a:chOff x="7928475" y="1747899"/>
            <a:chExt cx="4234948" cy="4041322"/>
          </a:xfrm>
        </xdr:grpSpPr>
        <xdr:graphicFrame macro="">
          <xdr:nvGraphicFramePr>
            <xdr:cNvPr id="29" name="Chart 28">
              <a:extLst>
                <a:ext uri="{FF2B5EF4-FFF2-40B4-BE49-F238E27FC236}">
                  <a16:creationId xmlns:a16="http://schemas.microsoft.com/office/drawing/2014/main" id="{00000000-0008-0000-0000-00001D000000}"/>
                </a:ext>
              </a:extLst>
            </xdr:cNvPr>
            <xdr:cNvGraphicFramePr/>
          </xdr:nvGraphicFramePr>
          <xdr:xfrm>
            <a:off x="7928475" y="1747899"/>
            <a:ext cx="4234948" cy="4041322"/>
          </xdr:xfrm>
          <a:graphic>
            <a:graphicData uri="http://schemas.openxmlformats.org/drawingml/2006/chart">
              <c:chart xmlns:c="http://schemas.openxmlformats.org/drawingml/2006/chart" xmlns:r="http://schemas.openxmlformats.org/officeDocument/2006/relationships" r:id="rId2"/>
            </a:graphicData>
          </a:graphic>
        </xdr:graphicFrame>
        <xdr:grpSp>
          <xdr:nvGrpSpPr>
            <xdr:cNvPr id="42" name="Group 41">
              <a:extLst>
                <a:ext uri="{FF2B5EF4-FFF2-40B4-BE49-F238E27FC236}">
                  <a16:creationId xmlns:a16="http://schemas.microsoft.com/office/drawing/2014/main" id="{00000000-0008-0000-0000-00002A000000}"/>
                </a:ext>
              </a:extLst>
            </xdr:cNvPr>
            <xdr:cNvGrpSpPr/>
          </xdr:nvGrpSpPr>
          <xdr:grpSpPr>
            <a:xfrm>
              <a:off x="8627958" y="2114261"/>
              <a:ext cx="3299717" cy="580563"/>
              <a:chOff x="6307860" y="1663722"/>
              <a:chExt cx="3554636" cy="567809"/>
            </a:xfrm>
          </xdr:grpSpPr>
          <xdr:sp macro="" textlink="">
            <xdr:nvSpPr>
              <xdr:cNvPr id="34" name="Rectangle 33">
                <a:extLst>
                  <a:ext uri="{FF2B5EF4-FFF2-40B4-BE49-F238E27FC236}">
                    <a16:creationId xmlns:a16="http://schemas.microsoft.com/office/drawing/2014/main" id="{00000000-0008-0000-0000-000022000000}"/>
                  </a:ext>
                </a:extLst>
              </xdr:cNvPr>
              <xdr:cNvSpPr/>
            </xdr:nvSpPr>
            <xdr:spPr>
              <a:xfrm>
                <a:off x="6307860" y="1812808"/>
                <a:ext cx="376568" cy="231928"/>
              </a:xfrm>
              <a:prstGeom prst="rect">
                <a:avLst/>
              </a:prstGeom>
              <a:solidFill>
                <a:schemeClr val="accent1">
                  <a:alpha val="76000"/>
                </a:schemeClr>
              </a:solidFill>
              <a:ln w="9525">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35" name="Rectangle 34">
                <a:extLst>
                  <a:ext uri="{FF2B5EF4-FFF2-40B4-BE49-F238E27FC236}">
                    <a16:creationId xmlns:a16="http://schemas.microsoft.com/office/drawing/2014/main" id="{00000000-0008-0000-0000-000023000000}"/>
                  </a:ext>
                </a:extLst>
              </xdr:cNvPr>
              <xdr:cNvSpPr/>
            </xdr:nvSpPr>
            <xdr:spPr>
              <a:xfrm>
                <a:off x="7699114" y="1814866"/>
                <a:ext cx="305943" cy="218884"/>
              </a:xfrm>
              <a:prstGeom prst="rect">
                <a:avLst/>
              </a:prstGeom>
              <a:noFill/>
              <a:ln w="25400">
                <a:solidFill>
                  <a:schemeClr val="bg2">
                    <a:lumMod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36" name="TextBox 35">
                <a:extLst>
                  <a:ext uri="{FF2B5EF4-FFF2-40B4-BE49-F238E27FC236}">
                    <a16:creationId xmlns:a16="http://schemas.microsoft.com/office/drawing/2014/main" id="{00000000-0008-0000-0000-000024000000}"/>
                  </a:ext>
                </a:extLst>
              </xdr:cNvPr>
              <xdr:cNvSpPr txBox="1"/>
            </xdr:nvSpPr>
            <xdr:spPr>
              <a:xfrm>
                <a:off x="6693421" y="1787212"/>
                <a:ext cx="772871" cy="362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200"/>
                  <a:t>Observed LoS</a:t>
                </a:r>
              </a:p>
            </xdr:txBody>
          </xdr:sp>
          <xdr:sp macro="" textlink="">
            <xdr:nvSpPr>
              <xdr:cNvPr id="37" name="TextBox 36">
                <a:extLst>
                  <a:ext uri="{FF2B5EF4-FFF2-40B4-BE49-F238E27FC236}">
                    <a16:creationId xmlns:a16="http://schemas.microsoft.com/office/drawing/2014/main" id="{00000000-0008-0000-0000-000025000000}"/>
                  </a:ext>
                </a:extLst>
              </xdr:cNvPr>
              <xdr:cNvSpPr txBox="1"/>
            </xdr:nvSpPr>
            <xdr:spPr>
              <a:xfrm>
                <a:off x="8006592" y="1663722"/>
                <a:ext cx="852603" cy="5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200"/>
                  <a:t>Acceptable target LoS</a:t>
                </a:r>
              </a:p>
            </xdr:txBody>
          </xdr:sp>
          <xdr:sp macro="" textlink="">
            <xdr:nvSpPr>
              <xdr:cNvPr id="38" name="TextBox 37">
                <a:extLst>
                  <a:ext uri="{FF2B5EF4-FFF2-40B4-BE49-F238E27FC236}">
                    <a16:creationId xmlns:a16="http://schemas.microsoft.com/office/drawing/2014/main" id="{00000000-0008-0000-0000-000026000000}"/>
                  </a:ext>
                </a:extLst>
              </xdr:cNvPr>
              <xdr:cNvSpPr txBox="1"/>
            </xdr:nvSpPr>
            <xdr:spPr>
              <a:xfrm>
                <a:off x="9095727" y="1745414"/>
                <a:ext cx="766769" cy="345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200"/>
                  <a:t>Project Impact</a:t>
                </a:r>
              </a:p>
            </xdr:txBody>
          </xdr:sp>
          <xdr:cxnSp macro="">
            <xdr:nvCxnSpPr>
              <xdr:cNvPr id="40" name="Straight Arrow Connector 39">
                <a:extLst>
                  <a:ext uri="{FF2B5EF4-FFF2-40B4-BE49-F238E27FC236}">
                    <a16:creationId xmlns:a16="http://schemas.microsoft.com/office/drawing/2014/main" id="{00000000-0008-0000-0000-000028000000}"/>
                  </a:ext>
                </a:extLst>
              </xdr:cNvPr>
              <xdr:cNvCxnSpPr/>
            </xdr:nvCxnSpPr>
            <xdr:spPr>
              <a:xfrm flipV="1">
                <a:off x="8902337" y="1818965"/>
                <a:ext cx="0" cy="256441"/>
              </a:xfrm>
              <a:prstGeom prst="straightConnector1">
                <a:avLst/>
              </a:prstGeom>
              <a:ln w="38100">
                <a:solidFill>
                  <a:srgbClr val="0070C0"/>
                </a:solidFill>
                <a:tailEnd type="arrow"/>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grpSp>
        <xdr:grpSp>
          <xdr:nvGrpSpPr>
            <xdr:cNvPr id="3" name="Group 2">
              <a:extLst>
                <a:ext uri="{FF2B5EF4-FFF2-40B4-BE49-F238E27FC236}">
                  <a16:creationId xmlns:a16="http://schemas.microsoft.com/office/drawing/2014/main" id="{00000000-0008-0000-0000-000003000000}"/>
                </a:ext>
              </a:extLst>
            </xdr:cNvPr>
            <xdr:cNvGrpSpPr/>
          </xdr:nvGrpSpPr>
          <xdr:grpSpPr>
            <a:xfrm>
              <a:off x="8346563" y="2838450"/>
              <a:ext cx="266707" cy="2032463"/>
              <a:chOff x="6317433" y="2924175"/>
              <a:chExt cx="276229" cy="1931756"/>
            </a:xfrm>
          </xdr:grpSpPr>
          <xdr:sp macro="" textlink="">
            <xdr:nvSpPr>
              <xdr:cNvPr id="33" name="TextBox 32">
                <a:extLst>
                  <a:ext uri="{FF2B5EF4-FFF2-40B4-BE49-F238E27FC236}">
                    <a16:creationId xmlns:a16="http://schemas.microsoft.com/office/drawing/2014/main" id="{00000000-0008-0000-0000-000021000000}"/>
                  </a:ext>
                </a:extLst>
              </xdr:cNvPr>
              <xdr:cNvSpPr txBox="1"/>
            </xdr:nvSpPr>
            <xdr:spPr>
              <a:xfrm>
                <a:off x="6317434" y="2924175"/>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A</a:t>
                </a:r>
              </a:p>
            </xdr:txBody>
          </xdr:sp>
          <xdr:sp macro="" textlink="">
            <xdr:nvSpPr>
              <xdr:cNvPr id="39" name="TextBox 38">
                <a:extLst>
                  <a:ext uri="{FF2B5EF4-FFF2-40B4-BE49-F238E27FC236}">
                    <a16:creationId xmlns:a16="http://schemas.microsoft.com/office/drawing/2014/main" id="{00000000-0008-0000-0000-000027000000}"/>
                  </a:ext>
                </a:extLst>
              </xdr:cNvPr>
              <xdr:cNvSpPr txBox="1"/>
            </xdr:nvSpPr>
            <xdr:spPr>
              <a:xfrm>
                <a:off x="6317434" y="3265455"/>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B</a:t>
                </a:r>
              </a:p>
            </xdr:txBody>
          </xdr:sp>
          <xdr:sp macro="" textlink="">
            <xdr:nvSpPr>
              <xdr:cNvPr id="41" name="TextBox 40">
                <a:extLst>
                  <a:ext uri="{FF2B5EF4-FFF2-40B4-BE49-F238E27FC236}">
                    <a16:creationId xmlns:a16="http://schemas.microsoft.com/office/drawing/2014/main" id="{00000000-0008-0000-0000-000029000000}"/>
                  </a:ext>
                </a:extLst>
              </xdr:cNvPr>
              <xdr:cNvSpPr txBox="1"/>
            </xdr:nvSpPr>
            <xdr:spPr>
              <a:xfrm>
                <a:off x="6317433" y="3595589"/>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C</a:t>
                </a:r>
              </a:p>
            </xdr:txBody>
          </xdr:sp>
          <xdr:sp macro="" textlink="">
            <xdr:nvSpPr>
              <xdr:cNvPr id="43" name="TextBox 42">
                <a:extLst>
                  <a:ext uri="{FF2B5EF4-FFF2-40B4-BE49-F238E27FC236}">
                    <a16:creationId xmlns:a16="http://schemas.microsoft.com/office/drawing/2014/main" id="{00000000-0008-0000-0000-00002B000000}"/>
                  </a:ext>
                </a:extLst>
              </xdr:cNvPr>
              <xdr:cNvSpPr txBox="1"/>
            </xdr:nvSpPr>
            <xdr:spPr>
              <a:xfrm>
                <a:off x="6317437" y="3925723"/>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D</a:t>
                </a:r>
              </a:p>
            </xdr:txBody>
          </xdr:sp>
          <xdr:sp macro="" textlink="">
            <xdr:nvSpPr>
              <xdr:cNvPr id="45" name="TextBox 44">
                <a:extLst>
                  <a:ext uri="{FF2B5EF4-FFF2-40B4-BE49-F238E27FC236}">
                    <a16:creationId xmlns:a16="http://schemas.microsoft.com/office/drawing/2014/main" id="{00000000-0008-0000-0000-00002D000000}"/>
                  </a:ext>
                </a:extLst>
              </xdr:cNvPr>
              <xdr:cNvSpPr txBox="1"/>
            </xdr:nvSpPr>
            <xdr:spPr>
              <a:xfrm>
                <a:off x="6317434" y="4255859"/>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E</a:t>
                </a:r>
              </a:p>
            </xdr:txBody>
          </xdr:sp>
          <xdr:sp macro="" textlink="">
            <xdr:nvSpPr>
              <xdr:cNvPr id="46" name="TextBox 45">
                <a:extLst>
                  <a:ext uri="{FF2B5EF4-FFF2-40B4-BE49-F238E27FC236}">
                    <a16:creationId xmlns:a16="http://schemas.microsoft.com/office/drawing/2014/main" id="{00000000-0008-0000-0000-00002E000000}"/>
                  </a:ext>
                </a:extLst>
              </xdr:cNvPr>
              <xdr:cNvSpPr txBox="1"/>
            </xdr:nvSpPr>
            <xdr:spPr>
              <a:xfrm>
                <a:off x="6317434" y="4598756"/>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F</a:t>
                </a:r>
              </a:p>
            </xdr:txBody>
          </xdr:sp>
        </xdr:grpSp>
      </xdr:grpSp>
      <xdr:pic>
        <xdr:nvPicPr>
          <xdr:cNvPr id="2" name="Graphic 18" descr="Truck with solid fill">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1647170" y="4906404"/>
            <a:ext cx="632941" cy="576579"/>
          </a:xfrm>
          <a:prstGeom prst="rect">
            <a:avLst/>
          </a:prstGeom>
        </xdr:spPr>
      </xdr:pic>
      <xdr:pic>
        <xdr:nvPicPr>
          <xdr:cNvPr id="6" name="Graphic 20" descr="Bus with solid fill">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565536" y="4902251"/>
            <a:ext cx="632941" cy="582293"/>
          </a:xfrm>
          <a:prstGeom prst="rect">
            <a:avLst/>
          </a:prstGeom>
        </xdr:spPr>
      </xdr:pic>
      <xdr:pic>
        <xdr:nvPicPr>
          <xdr:cNvPr id="7" name="Graphic 22" descr="Car with solid fill">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2707480" y="4931511"/>
            <a:ext cx="629131" cy="570864"/>
          </a:xfrm>
          <a:prstGeom prst="rect">
            <a:avLst/>
          </a:prstGeom>
        </xdr:spPr>
      </xdr:pic>
      <xdr:pic>
        <xdr:nvPicPr>
          <xdr:cNvPr id="8" name="Graphic 24" descr="Cycling with solid fill">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9465945" y="4827613"/>
            <a:ext cx="636751" cy="586103"/>
          </a:xfrm>
          <a:prstGeom prst="rect">
            <a:avLst/>
          </a:prstGeom>
        </xdr:spPr>
      </xdr:pic>
      <xdr:pic>
        <xdr:nvPicPr>
          <xdr:cNvPr id="10" name="Graphic 26" descr="Walk with solid fill">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8444924" y="4806315"/>
            <a:ext cx="623416" cy="578483"/>
          </a:xfrm>
          <a:prstGeom prst="rect">
            <a:avLst/>
          </a:prstGeom>
        </xdr:spPr>
      </xdr:pic>
    </xdr:grpSp>
    <xdr:clientData/>
  </xdr:twoCellAnchor>
</xdr:wsDr>
</file>

<file path=xl/drawings/drawing6.xml><?xml version="1.0" encoding="utf-8"?>
<c:userShapes xmlns:c="http://schemas.openxmlformats.org/drawingml/2006/chart">
  <cdr:relSizeAnchor xmlns:cdr="http://schemas.openxmlformats.org/drawingml/2006/chartDrawing">
    <cdr:from>
      <cdr:x>0.7017</cdr:x>
      <cdr:y>0.12271</cdr:y>
    </cdr:from>
    <cdr:to>
      <cdr:x>0.76239</cdr:x>
      <cdr:y>0.12271</cdr:y>
    </cdr:to>
    <cdr:cxnSp macro="">
      <cdr:nvCxnSpPr>
        <cdr:cNvPr id="3" name="Straight Connector 2">
          <a:extLst xmlns:a="http://schemas.openxmlformats.org/drawingml/2006/main">
            <a:ext uri="{FF2B5EF4-FFF2-40B4-BE49-F238E27FC236}">
              <a16:creationId xmlns:a16="http://schemas.microsoft.com/office/drawing/2014/main" id="{EDAA7874-FB01-4796-98CF-165DE0131EF5}"/>
            </a:ext>
          </a:extLst>
        </cdr:cNvPr>
        <cdr:cNvCxnSpPr/>
      </cdr:nvCxnSpPr>
      <cdr:spPr>
        <a:xfrm xmlns:a="http://schemas.openxmlformats.org/drawingml/2006/main">
          <a:off x="4640885" y="420442"/>
          <a:ext cx="401387" cy="0"/>
        </a:xfrm>
        <a:prstGeom xmlns:a="http://schemas.openxmlformats.org/drawingml/2006/main" prst="line">
          <a:avLst/>
        </a:prstGeom>
        <a:ln xmlns:a="http://schemas.openxmlformats.org/drawingml/2006/main" w="6350"/>
        <a:effectLst xmlns:a="http://schemas.openxmlformats.org/drawingml/2006/main">
          <a:glow rad="25400">
            <a:schemeClr val="accent5">
              <a:lumMod val="75000"/>
              <a:alpha val="21000"/>
            </a:schemeClr>
          </a:glow>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7.xml><?xml version="1.0" encoding="utf-8"?>
<xdr:wsDr xmlns:xdr="http://schemas.openxmlformats.org/drawingml/2006/spreadsheetDrawing" xmlns:a="http://schemas.openxmlformats.org/drawingml/2006/main">
  <xdr:twoCellAnchor editAs="oneCell">
    <xdr:from>
      <xdr:col>11</xdr:col>
      <xdr:colOff>809625</xdr:colOff>
      <xdr:row>0</xdr:row>
      <xdr:rowOff>0</xdr:rowOff>
    </xdr:from>
    <xdr:to>
      <xdr:col>12</xdr:col>
      <xdr:colOff>1101006</xdr:colOff>
      <xdr:row>1</xdr:row>
      <xdr:rowOff>757555</xdr:rowOff>
    </xdr:to>
    <xdr:pic>
      <xdr:nvPicPr>
        <xdr:cNvPr id="2" name="Picture 1">
          <a:extLst>
            <a:ext uri="{FF2B5EF4-FFF2-40B4-BE49-F238E27FC236}">
              <a16:creationId xmlns:a16="http://schemas.microsoft.com/office/drawing/2014/main" id="{FA2E99CC-A17A-4808-9242-737BDBEF868E}"/>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val="0"/>
            </a:ext>
          </a:extLst>
        </a:blip>
        <a:stretch>
          <a:fillRect/>
        </a:stretch>
      </xdr:blipFill>
      <xdr:spPr>
        <a:xfrm>
          <a:off x="11191875" y="0"/>
          <a:ext cx="1101006" cy="1052830"/>
        </a:xfrm>
        <a:prstGeom prst="rect">
          <a:avLst/>
        </a:prstGeom>
      </xdr:spPr>
    </xdr:pic>
    <xdr:clientData/>
  </xdr:twoCellAnchor>
  <xdr:twoCellAnchor>
    <xdr:from>
      <xdr:col>6</xdr:col>
      <xdr:colOff>0</xdr:colOff>
      <xdr:row>4</xdr:row>
      <xdr:rowOff>149679</xdr:rowOff>
    </xdr:from>
    <xdr:to>
      <xdr:col>13</xdr:col>
      <xdr:colOff>3385</xdr:colOff>
      <xdr:row>22</xdr:row>
      <xdr:rowOff>54075</xdr:rowOff>
    </xdr:to>
    <xdr:grpSp>
      <xdr:nvGrpSpPr>
        <xdr:cNvPr id="3" name="Group 2">
          <a:extLst>
            <a:ext uri="{FF2B5EF4-FFF2-40B4-BE49-F238E27FC236}">
              <a16:creationId xmlns:a16="http://schemas.microsoft.com/office/drawing/2014/main" id="{7A8E54EB-85E9-42B0-B2B6-3182489AB5A9}"/>
            </a:ext>
          </a:extLst>
        </xdr:cNvPr>
        <xdr:cNvGrpSpPr/>
      </xdr:nvGrpSpPr>
      <xdr:grpSpPr>
        <a:xfrm>
          <a:off x="7937500" y="1940379"/>
          <a:ext cx="7572585" cy="3460396"/>
          <a:chOff x="7105650" y="1740354"/>
          <a:chExt cx="6794708" cy="3762021"/>
        </a:xfrm>
      </xdr:grpSpPr>
      <xdr:grpSp>
        <xdr:nvGrpSpPr>
          <xdr:cNvPr id="4" name="Group 3">
            <a:extLst>
              <a:ext uri="{FF2B5EF4-FFF2-40B4-BE49-F238E27FC236}">
                <a16:creationId xmlns:a16="http://schemas.microsoft.com/office/drawing/2014/main" id="{69EF4F2A-9C17-CF36-8C0D-8DD480BD2DC4}"/>
              </a:ext>
            </a:extLst>
          </xdr:cNvPr>
          <xdr:cNvGrpSpPr/>
        </xdr:nvGrpSpPr>
        <xdr:grpSpPr>
          <a:xfrm>
            <a:off x="7105650" y="1740354"/>
            <a:ext cx="6794708" cy="3707947"/>
            <a:chOff x="7928475" y="1747899"/>
            <a:chExt cx="4234948" cy="4041322"/>
          </a:xfrm>
        </xdr:grpSpPr>
        <xdr:graphicFrame macro="">
          <xdr:nvGraphicFramePr>
            <xdr:cNvPr id="10" name="Chart 9">
              <a:extLst>
                <a:ext uri="{FF2B5EF4-FFF2-40B4-BE49-F238E27FC236}">
                  <a16:creationId xmlns:a16="http://schemas.microsoft.com/office/drawing/2014/main" id="{FCF07A4D-EC93-42A1-F6AD-29A5669E500E}"/>
                </a:ext>
              </a:extLst>
            </xdr:cNvPr>
            <xdr:cNvGraphicFramePr/>
          </xdr:nvGraphicFramePr>
          <xdr:xfrm>
            <a:off x="7928475" y="1747899"/>
            <a:ext cx="4234948" cy="4041322"/>
          </xdr:xfrm>
          <a:graphic>
            <a:graphicData uri="http://schemas.openxmlformats.org/drawingml/2006/chart">
              <c:chart xmlns:c="http://schemas.openxmlformats.org/drawingml/2006/chart" xmlns:r="http://schemas.openxmlformats.org/officeDocument/2006/relationships" r:id="rId2"/>
            </a:graphicData>
          </a:graphic>
        </xdr:graphicFrame>
        <xdr:grpSp>
          <xdr:nvGrpSpPr>
            <xdr:cNvPr id="11" name="Group 10">
              <a:extLst>
                <a:ext uri="{FF2B5EF4-FFF2-40B4-BE49-F238E27FC236}">
                  <a16:creationId xmlns:a16="http://schemas.microsoft.com/office/drawing/2014/main" id="{B75FF80D-2033-175F-2882-9FDA997EA794}"/>
                </a:ext>
              </a:extLst>
            </xdr:cNvPr>
            <xdr:cNvGrpSpPr/>
          </xdr:nvGrpSpPr>
          <xdr:grpSpPr>
            <a:xfrm>
              <a:off x="8627958" y="2114261"/>
              <a:ext cx="3299717" cy="580563"/>
              <a:chOff x="6307860" y="1663722"/>
              <a:chExt cx="3554636" cy="567809"/>
            </a:xfrm>
          </xdr:grpSpPr>
          <xdr:sp macro="" textlink="">
            <xdr:nvSpPr>
              <xdr:cNvPr id="19" name="Rectangle 18">
                <a:extLst>
                  <a:ext uri="{FF2B5EF4-FFF2-40B4-BE49-F238E27FC236}">
                    <a16:creationId xmlns:a16="http://schemas.microsoft.com/office/drawing/2014/main" id="{22ACCCE4-BA59-EFDD-D05D-AAE86A534072}"/>
                  </a:ext>
                </a:extLst>
              </xdr:cNvPr>
              <xdr:cNvSpPr/>
            </xdr:nvSpPr>
            <xdr:spPr>
              <a:xfrm>
                <a:off x="6307860" y="1812808"/>
                <a:ext cx="376568" cy="231928"/>
              </a:xfrm>
              <a:prstGeom prst="rect">
                <a:avLst/>
              </a:prstGeom>
              <a:solidFill>
                <a:schemeClr val="accent1">
                  <a:alpha val="76000"/>
                </a:schemeClr>
              </a:solidFill>
              <a:ln w="9525">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20" name="Rectangle 19">
                <a:extLst>
                  <a:ext uri="{FF2B5EF4-FFF2-40B4-BE49-F238E27FC236}">
                    <a16:creationId xmlns:a16="http://schemas.microsoft.com/office/drawing/2014/main" id="{DFEC8904-2A35-35A2-B634-7ECEBE8EFE7F}"/>
                  </a:ext>
                </a:extLst>
              </xdr:cNvPr>
              <xdr:cNvSpPr/>
            </xdr:nvSpPr>
            <xdr:spPr>
              <a:xfrm>
                <a:off x="7699114" y="1814866"/>
                <a:ext cx="305943" cy="218884"/>
              </a:xfrm>
              <a:prstGeom prst="rect">
                <a:avLst/>
              </a:prstGeom>
              <a:noFill/>
              <a:ln w="25400">
                <a:solidFill>
                  <a:schemeClr val="bg2">
                    <a:lumMod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Z" sz="1100"/>
              </a:p>
            </xdr:txBody>
          </xdr:sp>
          <xdr:sp macro="" textlink="">
            <xdr:nvSpPr>
              <xdr:cNvPr id="21" name="TextBox 20">
                <a:extLst>
                  <a:ext uri="{FF2B5EF4-FFF2-40B4-BE49-F238E27FC236}">
                    <a16:creationId xmlns:a16="http://schemas.microsoft.com/office/drawing/2014/main" id="{A25BCFAB-6543-DC35-56FB-9DDFB17DCC82}"/>
                  </a:ext>
                </a:extLst>
              </xdr:cNvPr>
              <xdr:cNvSpPr txBox="1"/>
            </xdr:nvSpPr>
            <xdr:spPr>
              <a:xfrm>
                <a:off x="6693421" y="1787212"/>
                <a:ext cx="772871" cy="362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200"/>
                  <a:t>Observed LoS</a:t>
                </a:r>
              </a:p>
            </xdr:txBody>
          </xdr:sp>
          <xdr:sp macro="" textlink="">
            <xdr:nvSpPr>
              <xdr:cNvPr id="22" name="TextBox 21">
                <a:extLst>
                  <a:ext uri="{FF2B5EF4-FFF2-40B4-BE49-F238E27FC236}">
                    <a16:creationId xmlns:a16="http://schemas.microsoft.com/office/drawing/2014/main" id="{A0A4C66A-1BA9-3A1D-A334-69D9ABBE82BC}"/>
                  </a:ext>
                </a:extLst>
              </xdr:cNvPr>
              <xdr:cNvSpPr txBox="1"/>
            </xdr:nvSpPr>
            <xdr:spPr>
              <a:xfrm>
                <a:off x="8006592" y="1663722"/>
                <a:ext cx="852603" cy="5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200"/>
                  <a:t>Acceptable target LoS</a:t>
                </a:r>
              </a:p>
            </xdr:txBody>
          </xdr:sp>
          <xdr:sp macro="" textlink="">
            <xdr:nvSpPr>
              <xdr:cNvPr id="23" name="TextBox 22">
                <a:extLst>
                  <a:ext uri="{FF2B5EF4-FFF2-40B4-BE49-F238E27FC236}">
                    <a16:creationId xmlns:a16="http://schemas.microsoft.com/office/drawing/2014/main" id="{6FBB342B-1843-20FD-A96A-56D5EDFC8299}"/>
                  </a:ext>
                </a:extLst>
              </xdr:cNvPr>
              <xdr:cNvSpPr txBox="1"/>
            </xdr:nvSpPr>
            <xdr:spPr>
              <a:xfrm>
                <a:off x="9095727" y="1745414"/>
                <a:ext cx="766769" cy="345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200"/>
                  <a:t>Project Impact</a:t>
                </a:r>
              </a:p>
            </xdr:txBody>
          </xdr:sp>
          <xdr:cxnSp macro="">
            <xdr:nvCxnSpPr>
              <xdr:cNvPr id="24" name="Straight Arrow Connector 23">
                <a:extLst>
                  <a:ext uri="{FF2B5EF4-FFF2-40B4-BE49-F238E27FC236}">
                    <a16:creationId xmlns:a16="http://schemas.microsoft.com/office/drawing/2014/main" id="{080A2668-05EC-B0EA-7799-A581EE333CD4}"/>
                  </a:ext>
                </a:extLst>
              </xdr:cNvPr>
              <xdr:cNvCxnSpPr/>
            </xdr:nvCxnSpPr>
            <xdr:spPr>
              <a:xfrm flipV="1">
                <a:off x="8902337" y="1818965"/>
                <a:ext cx="0" cy="256441"/>
              </a:xfrm>
              <a:prstGeom prst="straightConnector1">
                <a:avLst/>
              </a:prstGeom>
              <a:ln w="38100">
                <a:solidFill>
                  <a:srgbClr val="0070C0"/>
                </a:solidFill>
                <a:tailEnd type="arrow"/>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grpSp>
        <xdr:grpSp>
          <xdr:nvGrpSpPr>
            <xdr:cNvPr id="12" name="Group 11">
              <a:extLst>
                <a:ext uri="{FF2B5EF4-FFF2-40B4-BE49-F238E27FC236}">
                  <a16:creationId xmlns:a16="http://schemas.microsoft.com/office/drawing/2014/main" id="{A676F212-5150-4281-F8CB-6340993B3E91}"/>
                </a:ext>
              </a:extLst>
            </xdr:cNvPr>
            <xdr:cNvGrpSpPr/>
          </xdr:nvGrpSpPr>
          <xdr:grpSpPr>
            <a:xfrm>
              <a:off x="8346563" y="2838450"/>
              <a:ext cx="266707" cy="2032463"/>
              <a:chOff x="6317433" y="2924175"/>
              <a:chExt cx="276229" cy="1931756"/>
            </a:xfrm>
          </xdr:grpSpPr>
          <xdr:sp macro="" textlink="">
            <xdr:nvSpPr>
              <xdr:cNvPr id="13" name="TextBox 12">
                <a:extLst>
                  <a:ext uri="{FF2B5EF4-FFF2-40B4-BE49-F238E27FC236}">
                    <a16:creationId xmlns:a16="http://schemas.microsoft.com/office/drawing/2014/main" id="{C0AC12DA-19B9-CC92-989C-80C8F896DE7A}"/>
                  </a:ext>
                </a:extLst>
              </xdr:cNvPr>
              <xdr:cNvSpPr txBox="1"/>
            </xdr:nvSpPr>
            <xdr:spPr>
              <a:xfrm>
                <a:off x="6317434" y="2924175"/>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A</a:t>
                </a:r>
              </a:p>
            </xdr:txBody>
          </xdr:sp>
          <xdr:sp macro="" textlink="">
            <xdr:nvSpPr>
              <xdr:cNvPr id="14" name="TextBox 13">
                <a:extLst>
                  <a:ext uri="{FF2B5EF4-FFF2-40B4-BE49-F238E27FC236}">
                    <a16:creationId xmlns:a16="http://schemas.microsoft.com/office/drawing/2014/main" id="{56900D8C-05E0-24FC-A84B-FFE08B492D88}"/>
                  </a:ext>
                </a:extLst>
              </xdr:cNvPr>
              <xdr:cNvSpPr txBox="1"/>
            </xdr:nvSpPr>
            <xdr:spPr>
              <a:xfrm>
                <a:off x="6317434" y="3265455"/>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B</a:t>
                </a:r>
              </a:p>
            </xdr:txBody>
          </xdr:sp>
          <xdr:sp macro="" textlink="">
            <xdr:nvSpPr>
              <xdr:cNvPr id="15" name="TextBox 14">
                <a:extLst>
                  <a:ext uri="{FF2B5EF4-FFF2-40B4-BE49-F238E27FC236}">
                    <a16:creationId xmlns:a16="http://schemas.microsoft.com/office/drawing/2014/main" id="{5735A445-4F1E-E290-3C89-F04650B2A837}"/>
                  </a:ext>
                </a:extLst>
              </xdr:cNvPr>
              <xdr:cNvSpPr txBox="1"/>
            </xdr:nvSpPr>
            <xdr:spPr>
              <a:xfrm>
                <a:off x="6317433" y="3595589"/>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C</a:t>
                </a:r>
              </a:p>
            </xdr:txBody>
          </xdr:sp>
          <xdr:sp macro="" textlink="">
            <xdr:nvSpPr>
              <xdr:cNvPr id="16" name="TextBox 15">
                <a:extLst>
                  <a:ext uri="{FF2B5EF4-FFF2-40B4-BE49-F238E27FC236}">
                    <a16:creationId xmlns:a16="http://schemas.microsoft.com/office/drawing/2014/main" id="{61AA585A-7571-170F-25DF-811EE01032F6}"/>
                  </a:ext>
                </a:extLst>
              </xdr:cNvPr>
              <xdr:cNvSpPr txBox="1"/>
            </xdr:nvSpPr>
            <xdr:spPr>
              <a:xfrm>
                <a:off x="6317437" y="3925723"/>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D</a:t>
                </a:r>
              </a:p>
            </xdr:txBody>
          </xdr:sp>
          <xdr:sp macro="" textlink="">
            <xdr:nvSpPr>
              <xdr:cNvPr id="17" name="TextBox 16">
                <a:extLst>
                  <a:ext uri="{FF2B5EF4-FFF2-40B4-BE49-F238E27FC236}">
                    <a16:creationId xmlns:a16="http://schemas.microsoft.com/office/drawing/2014/main" id="{C23D1B79-2249-16B5-9C6B-5C650E4FE5B3}"/>
                  </a:ext>
                </a:extLst>
              </xdr:cNvPr>
              <xdr:cNvSpPr txBox="1"/>
            </xdr:nvSpPr>
            <xdr:spPr>
              <a:xfrm>
                <a:off x="6317434" y="4255859"/>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E</a:t>
                </a:r>
              </a:p>
            </xdr:txBody>
          </xdr:sp>
          <xdr:sp macro="" textlink="">
            <xdr:nvSpPr>
              <xdr:cNvPr id="18" name="TextBox 17">
                <a:extLst>
                  <a:ext uri="{FF2B5EF4-FFF2-40B4-BE49-F238E27FC236}">
                    <a16:creationId xmlns:a16="http://schemas.microsoft.com/office/drawing/2014/main" id="{0EB034EB-8008-7353-52EB-1E39EA98ED15}"/>
                  </a:ext>
                </a:extLst>
              </xdr:cNvPr>
              <xdr:cNvSpPr txBox="1"/>
            </xdr:nvSpPr>
            <xdr:spPr>
              <a:xfrm>
                <a:off x="6317434" y="4598756"/>
                <a:ext cx="2762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NZ" sz="1100"/>
                  <a:t>F</a:t>
                </a:r>
              </a:p>
            </xdr:txBody>
          </xdr:sp>
        </xdr:grpSp>
      </xdr:grpSp>
      <xdr:pic>
        <xdr:nvPicPr>
          <xdr:cNvPr id="5" name="Graphic 18" descr="Truck with solid fill">
            <a:extLst>
              <a:ext uri="{FF2B5EF4-FFF2-40B4-BE49-F238E27FC236}">
                <a16:creationId xmlns:a16="http://schemas.microsoft.com/office/drawing/2014/main" id="{1B57E68B-8655-ECE7-0900-D61BEDE30AB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1647170" y="4906404"/>
            <a:ext cx="632941" cy="576579"/>
          </a:xfrm>
          <a:prstGeom prst="rect">
            <a:avLst/>
          </a:prstGeom>
        </xdr:spPr>
      </xdr:pic>
      <xdr:pic>
        <xdr:nvPicPr>
          <xdr:cNvPr id="6" name="Graphic 20" descr="Bus with solid fill">
            <a:extLst>
              <a:ext uri="{FF2B5EF4-FFF2-40B4-BE49-F238E27FC236}">
                <a16:creationId xmlns:a16="http://schemas.microsoft.com/office/drawing/2014/main" id="{9A7E793F-4F5B-449A-8126-2826FD52327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565536" y="4902251"/>
            <a:ext cx="632941" cy="582293"/>
          </a:xfrm>
          <a:prstGeom prst="rect">
            <a:avLst/>
          </a:prstGeom>
        </xdr:spPr>
      </xdr:pic>
      <xdr:pic>
        <xdr:nvPicPr>
          <xdr:cNvPr id="7" name="Graphic 22" descr="Car with solid fill">
            <a:extLst>
              <a:ext uri="{FF2B5EF4-FFF2-40B4-BE49-F238E27FC236}">
                <a16:creationId xmlns:a16="http://schemas.microsoft.com/office/drawing/2014/main" id="{51B0839F-FC9E-7921-AD3F-06293DDB03E4}"/>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2707480" y="4931511"/>
            <a:ext cx="629131" cy="570864"/>
          </a:xfrm>
          <a:prstGeom prst="rect">
            <a:avLst/>
          </a:prstGeom>
        </xdr:spPr>
      </xdr:pic>
      <xdr:pic>
        <xdr:nvPicPr>
          <xdr:cNvPr id="8" name="Graphic 24" descr="Cycling with solid fill">
            <a:extLst>
              <a:ext uri="{FF2B5EF4-FFF2-40B4-BE49-F238E27FC236}">
                <a16:creationId xmlns:a16="http://schemas.microsoft.com/office/drawing/2014/main" id="{7E783B5F-102E-BF55-6439-3DFF99CC0CF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9465945" y="4827613"/>
            <a:ext cx="636751" cy="586103"/>
          </a:xfrm>
          <a:prstGeom prst="rect">
            <a:avLst/>
          </a:prstGeom>
        </xdr:spPr>
      </xdr:pic>
      <xdr:pic>
        <xdr:nvPicPr>
          <xdr:cNvPr id="9" name="Graphic 26" descr="Walk with solid fill">
            <a:extLst>
              <a:ext uri="{FF2B5EF4-FFF2-40B4-BE49-F238E27FC236}">
                <a16:creationId xmlns:a16="http://schemas.microsoft.com/office/drawing/2014/main" id="{1251ECBE-619C-A949-00D8-100D5BAAC4D5}"/>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8444924" y="4806315"/>
            <a:ext cx="623416" cy="578483"/>
          </a:xfrm>
          <a:prstGeom prst="rect">
            <a:avLst/>
          </a:prstGeom>
        </xdr:spPr>
      </xdr:pic>
    </xdr:grpSp>
    <xdr:clientData/>
  </xdr:twoCellAnchor>
</xdr:wsDr>
</file>

<file path=xl/drawings/drawing8.xml><?xml version="1.0" encoding="utf-8"?>
<c:userShapes xmlns:c="http://schemas.openxmlformats.org/drawingml/2006/chart">
  <cdr:relSizeAnchor xmlns:cdr="http://schemas.openxmlformats.org/drawingml/2006/chartDrawing">
    <cdr:from>
      <cdr:x>0.7017</cdr:x>
      <cdr:y>0.12271</cdr:y>
    </cdr:from>
    <cdr:to>
      <cdr:x>0.76239</cdr:x>
      <cdr:y>0.12271</cdr:y>
    </cdr:to>
    <cdr:cxnSp macro="">
      <cdr:nvCxnSpPr>
        <cdr:cNvPr id="3" name="Straight Connector 2">
          <a:extLst xmlns:a="http://schemas.openxmlformats.org/drawingml/2006/main">
            <a:ext uri="{FF2B5EF4-FFF2-40B4-BE49-F238E27FC236}">
              <a16:creationId xmlns:a16="http://schemas.microsoft.com/office/drawing/2014/main" id="{EDAA7874-FB01-4796-98CF-165DE0131EF5}"/>
            </a:ext>
          </a:extLst>
        </cdr:cNvPr>
        <cdr:cNvCxnSpPr/>
      </cdr:nvCxnSpPr>
      <cdr:spPr>
        <a:xfrm xmlns:a="http://schemas.openxmlformats.org/drawingml/2006/main">
          <a:off x="4640885" y="420442"/>
          <a:ext cx="401387" cy="0"/>
        </a:xfrm>
        <a:prstGeom xmlns:a="http://schemas.openxmlformats.org/drawingml/2006/main" prst="line">
          <a:avLst/>
        </a:prstGeom>
        <a:ln xmlns:a="http://schemas.openxmlformats.org/drawingml/2006/main" w="6350"/>
        <a:effectLst xmlns:a="http://schemas.openxmlformats.org/drawingml/2006/main">
          <a:glow rad="25400">
            <a:schemeClr val="accent5">
              <a:lumMod val="75000"/>
              <a:alpha val="21000"/>
            </a:schemeClr>
          </a:glow>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9.xml><?xml version="1.0" encoding="utf-8"?>
<xdr:wsDr xmlns:xdr="http://schemas.openxmlformats.org/drawingml/2006/spreadsheetDrawing" xmlns:a="http://schemas.openxmlformats.org/drawingml/2006/main">
  <xdr:twoCellAnchor editAs="oneCell">
    <xdr:from>
      <xdr:col>0</xdr:col>
      <xdr:colOff>0</xdr:colOff>
      <xdr:row>18</xdr:row>
      <xdr:rowOff>28575</xdr:rowOff>
    </xdr:from>
    <xdr:to>
      <xdr:col>2</xdr:col>
      <xdr:colOff>2028825</xdr:colOff>
      <xdr:row>41</xdr:row>
      <xdr:rowOff>19050</xdr:rowOff>
    </xdr:to>
    <xdr:pic>
      <xdr:nvPicPr>
        <xdr:cNvPr id="4" name="Picture 3">
          <a:extLst>
            <a:ext uri="{FF2B5EF4-FFF2-40B4-BE49-F238E27FC236}">
              <a16:creationId xmlns:a16="http://schemas.microsoft.com/office/drawing/2014/main" id="{B6F3375C-E3FB-FA3F-09C3-92860FF28B02}"/>
            </a:ext>
          </a:extLst>
        </xdr:cNvPr>
        <xdr:cNvPicPr>
          <a:picLocks noChangeAspect="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r="15564"/>
        <a:stretch/>
      </xdr:blipFill>
      <xdr:spPr>
        <a:xfrm>
          <a:off x="0" y="3505200"/>
          <a:ext cx="6562725" cy="4371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Rob Douglas-Jones" id="{24B6CFCC-FD79-4E95-9593-2062896A45D3}" userId="S::rob@edin.co.nz::d788c948-8380-473e-b35d-e06fcf974318"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6" dT="2022-01-06T02:46:05.64" personId="{24B6CFCC-FD79-4E95-9593-2062896A45D3}" id="{17A7C593-5FDD-4476-8C37-4C90410ABEDD}">
    <text>ANO has target of D for peaks</text>
  </threadedComment>
</ThreadedComments>
</file>

<file path=xl/threadedComments/threadedComment2.xml><?xml version="1.0" encoding="utf-8"?>
<ThreadedComments xmlns="http://schemas.microsoft.com/office/spreadsheetml/2018/threadedcomments" xmlns:x="http://schemas.openxmlformats.org/spreadsheetml/2006/main">
  <threadedComment ref="N17" dT="2021-11-17T19:59:36.48" personId="{24B6CFCC-FD79-4E95-9593-2062896A45D3}" id="{96E19759-F397-4A29-85BD-D508B8A9B967}">
    <text>E feels too low for an FTN</text>
  </threadedComment>
  <threadedComment ref="O23" dT="2021-11-17T20:00:14.99" personId="{24B6CFCC-FD79-4E95-9593-2062896A45D3}" id="{6FE9F309-2026-4CAC-A3CF-11E03EF33B1D}">
    <text>Shouldn't freight get a better LoS during interpeak on the Freight network?</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here.at.govt.nz/futureconnect/" TargetMode="External"/><Relationship Id="rId1" Type="http://schemas.openxmlformats.org/officeDocument/2006/relationships/hyperlink" Target="https://at.govt.nz/media/s3ydn5yt/application-of-the-auckland-network-operating-plan-july2025.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at.govt.nz/about-us/transport-plans-strategies/auckland-network-operating-plan/" TargetMode="External"/><Relationship Id="rId2" Type="http://schemas.openxmlformats.org/officeDocument/2006/relationships/hyperlink" Target="https://at.govt.nz/media/1991103/application-of-the-auckalnd-network-operating-plan-august-2022.pdf" TargetMode="External"/><Relationship Id="rId1" Type="http://schemas.openxmlformats.org/officeDocument/2006/relationships/hyperlink" Target="https://mahere.at.govt.nz/futureconnect/"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at.govt.nz/about-us/transport-plans-strategies/future-connect-auckland-transports-network-plan/"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at.govt.nz/about-us/transport-plans-strategies/auckland-network-operating-plan/" TargetMode="External"/><Relationship Id="rId2" Type="http://schemas.openxmlformats.org/officeDocument/2006/relationships/hyperlink" Target="https://at.govt.nz/media/1991103/application-of-the-auckalnd-network-operating-plan-august-2022.pdf" TargetMode="External"/><Relationship Id="rId1" Type="http://schemas.openxmlformats.org/officeDocument/2006/relationships/hyperlink" Target="https://mahere.at.govt.nz/futureconnect/" TargetMode="External"/><Relationship Id="rId6" Type="http://schemas.openxmlformats.org/officeDocument/2006/relationships/drawing" Target="../drawings/drawing7.xml"/><Relationship Id="rId5" Type="http://schemas.openxmlformats.org/officeDocument/2006/relationships/printerSettings" Target="../printerSettings/printerSettings6.bin"/><Relationship Id="rId4" Type="http://schemas.openxmlformats.org/officeDocument/2006/relationships/hyperlink" Target="https://at.govt.nz/about-us/transport-plans-strategies/future-connect-auckland-transports-network-plan/"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947D5-9167-4A0D-AE68-1B49C75F8720}">
  <sheetPr codeName="Sheet3">
    <tabColor rgb="FFFFC000"/>
  </sheetPr>
  <dimension ref="A1:X69"/>
  <sheetViews>
    <sheetView showGridLines="0" tabSelected="1" topLeftCell="A44" zoomScale="110" zoomScaleNormal="110" workbookViewId="0">
      <selection activeCell="A60" sqref="A60:C60"/>
    </sheetView>
  </sheetViews>
  <sheetFormatPr baseColWidth="10" defaultColWidth="9.1640625" defaultRowHeight="19" outlineLevelRow="1" outlineLevelCol="1" x14ac:dyDescent="0.25"/>
  <cols>
    <col min="1" max="1" width="9.1640625" style="348"/>
    <col min="2" max="2" width="52.33203125" style="348" customWidth="1"/>
    <col min="3" max="3" width="19.5" style="352" customWidth="1"/>
    <col min="4" max="4" width="19.5" style="353" customWidth="1"/>
    <col min="5" max="6" width="19.5" style="348" customWidth="1"/>
    <col min="7" max="7" width="10.83203125" style="348" customWidth="1"/>
    <col min="8" max="8" width="10.83203125" style="348" hidden="1" customWidth="1" outlineLevel="1"/>
    <col min="9" max="9" width="30.5" style="360" hidden="1" customWidth="1" outlineLevel="1"/>
    <col min="10" max="12" width="16.6640625" style="348" hidden="1" customWidth="1" outlineLevel="1"/>
    <col min="13" max="13" width="12.5" style="348" hidden="1" customWidth="1" outlineLevel="1"/>
    <col min="14" max="21" width="9.1640625" style="348" hidden="1" customWidth="1" outlineLevel="1"/>
    <col min="22" max="22" width="9.1640625" style="348" collapsed="1"/>
    <col min="23" max="16384" width="9.1640625" style="348"/>
  </cols>
  <sheetData>
    <row r="1" spans="1:12" ht="21" x14ac:dyDescent="0.25">
      <c r="A1" s="342" t="s">
        <v>329</v>
      </c>
      <c r="B1" s="343"/>
      <c r="C1" s="344"/>
      <c r="D1" s="345"/>
      <c r="E1" s="346"/>
      <c r="F1" s="347" t="e" vm="1">
        <v>#VALUE!</v>
      </c>
      <c r="I1" s="349" t="s">
        <v>299</v>
      </c>
    </row>
    <row r="2" spans="1:12" x14ac:dyDescent="0.25">
      <c r="A2" s="350" t="s">
        <v>342</v>
      </c>
      <c r="B2" s="351"/>
      <c r="F2" s="354"/>
      <c r="I2" s="349"/>
    </row>
    <row r="3" spans="1:12" s="351" customFormat="1" ht="16" x14ac:dyDescent="0.2">
      <c r="A3" s="355"/>
      <c r="D3" s="356"/>
      <c r="F3" s="354"/>
      <c r="I3" s="357"/>
    </row>
    <row r="4" spans="1:12" x14ac:dyDescent="0.25">
      <c r="A4" s="358" t="s">
        <v>340</v>
      </c>
      <c r="B4" s="358"/>
      <c r="C4" s="358"/>
      <c r="D4" s="358"/>
      <c r="F4" s="354"/>
      <c r="I4" s="349"/>
    </row>
    <row r="5" spans="1:12" ht="18.75" customHeight="1" x14ac:dyDescent="0.2">
      <c r="A5" s="359" t="s">
        <v>367</v>
      </c>
      <c r="B5" s="359"/>
      <c r="C5" s="359"/>
      <c r="D5" s="359"/>
      <c r="F5" s="354"/>
    </row>
    <row r="6" spans="1:12" ht="18.75" customHeight="1" x14ac:dyDescent="0.2">
      <c r="A6" s="361" t="s">
        <v>345</v>
      </c>
      <c r="B6" s="361"/>
      <c r="C6" s="361"/>
      <c r="D6" s="361"/>
      <c r="F6" s="354"/>
    </row>
    <row r="7" spans="1:12" x14ac:dyDescent="0.25">
      <c r="A7" s="362"/>
      <c r="F7" s="363"/>
      <c r="I7" s="348"/>
    </row>
    <row r="8" spans="1:12" ht="31.5" customHeight="1" x14ac:dyDescent="0.2">
      <c r="A8" s="364" t="s">
        <v>32</v>
      </c>
      <c r="B8" s="365" t="s">
        <v>25</v>
      </c>
      <c r="C8" s="366"/>
      <c r="D8" s="366"/>
      <c r="E8" s="366"/>
      <c r="F8" s="367"/>
      <c r="I8" s="368"/>
      <c r="J8" s="369" t="s">
        <v>260</v>
      </c>
      <c r="K8" s="369" t="s">
        <v>302</v>
      </c>
      <c r="L8" s="368" t="s">
        <v>377</v>
      </c>
    </row>
    <row r="9" spans="1:12" ht="36.75" customHeight="1" x14ac:dyDescent="0.2">
      <c r="A9" s="370"/>
      <c r="B9" s="365" t="s">
        <v>28</v>
      </c>
      <c r="C9" s="366"/>
      <c r="D9" s="366"/>
      <c r="E9" s="366"/>
      <c r="F9" s="367"/>
      <c r="I9" s="371" t="s">
        <v>61</v>
      </c>
      <c r="J9" s="372">
        <f>45/50</f>
        <v>0.9</v>
      </c>
      <c r="K9" s="372">
        <f>J9*$C$16</f>
        <v>45</v>
      </c>
      <c r="L9" s="373" t="s">
        <v>259</v>
      </c>
    </row>
    <row r="10" spans="1:12" ht="17" customHeight="1" x14ac:dyDescent="0.2">
      <c r="A10" s="370"/>
      <c r="B10" s="365" t="s">
        <v>291</v>
      </c>
      <c r="C10" s="366"/>
      <c r="D10" s="366"/>
      <c r="E10" s="366"/>
      <c r="F10" s="367"/>
      <c r="I10" s="371" t="s">
        <v>3</v>
      </c>
      <c r="J10" s="372">
        <f>35/50</f>
        <v>0.7</v>
      </c>
      <c r="K10" s="372">
        <f t="shared" ref="K10:K13" si="0">J10*$C$16</f>
        <v>35</v>
      </c>
      <c r="L10" s="373" t="s">
        <v>258</v>
      </c>
    </row>
    <row r="11" spans="1:12" ht="17" customHeight="1" x14ac:dyDescent="0.2">
      <c r="A11" s="370"/>
      <c r="B11" s="365" t="s">
        <v>27</v>
      </c>
      <c r="C11" s="374"/>
      <c r="D11" s="374"/>
      <c r="E11" s="374"/>
      <c r="F11" s="375"/>
      <c r="I11" s="371" t="s">
        <v>1</v>
      </c>
      <c r="J11" s="372">
        <f>25/50</f>
        <v>0.5</v>
      </c>
      <c r="K11" s="372">
        <f t="shared" si="0"/>
        <v>25</v>
      </c>
      <c r="L11" s="373" t="s">
        <v>257</v>
      </c>
    </row>
    <row r="12" spans="1:12" ht="17" customHeight="1" x14ac:dyDescent="0.2">
      <c r="A12" s="370"/>
      <c r="B12" s="365" t="s">
        <v>29</v>
      </c>
      <c r="C12" s="366"/>
      <c r="D12" s="366"/>
      <c r="E12" s="366"/>
      <c r="F12" s="367"/>
      <c r="I12" s="371" t="s">
        <v>2</v>
      </c>
      <c r="J12" s="372">
        <f>20/50</f>
        <v>0.4</v>
      </c>
      <c r="K12" s="372">
        <f t="shared" si="0"/>
        <v>20</v>
      </c>
      <c r="L12" s="373" t="s">
        <v>256</v>
      </c>
    </row>
    <row r="13" spans="1:12" ht="17" customHeight="1" x14ac:dyDescent="0.2">
      <c r="A13" s="370"/>
      <c r="B13" s="365" t="s">
        <v>294</v>
      </c>
      <c r="C13" s="376"/>
      <c r="D13" s="348"/>
      <c r="F13" s="363"/>
      <c r="I13" s="371" t="s">
        <v>10</v>
      </c>
      <c r="J13" s="372">
        <f>15/50</f>
        <v>0.3</v>
      </c>
      <c r="K13" s="372">
        <f t="shared" si="0"/>
        <v>15</v>
      </c>
      <c r="L13" s="373" t="s">
        <v>255</v>
      </c>
    </row>
    <row r="14" spans="1:12" ht="17" customHeight="1" x14ac:dyDescent="0.2">
      <c r="A14" s="370"/>
      <c r="B14" s="365" t="s">
        <v>290</v>
      </c>
      <c r="C14" s="377"/>
      <c r="D14" s="348"/>
      <c r="F14" s="363"/>
      <c r="I14" s="371" t="s">
        <v>62</v>
      </c>
      <c r="J14" s="372" t="s">
        <v>253</v>
      </c>
      <c r="K14" s="372"/>
      <c r="L14" s="373" t="s">
        <v>254</v>
      </c>
    </row>
    <row r="15" spans="1:12" ht="17" customHeight="1" x14ac:dyDescent="0.2">
      <c r="A15" s="370"/>
      <c r="B15" s="365" t="s">
        <v>298</v>
      </c>
      <c r="C15" s="377"/>
      <c r="D15" s="348"/>
      <c r="F15" s="363"/>
    </row>
    <row r="16" spans="1:12" ht="17" customHeight="1" x14ac:dyDescent="0.2">
      <c r="A16" s="370"/>
      <c r="B16" s="378" t="s">
        <v>296</v>
      </c>
      <c r="C16" s="379">
        <v>50</v>
      </c>
      <c r="D16" s="348"/>
      <c r="F16" s="363"/>
    </row>
    <row r="17" spans="1:13" ht="35.25" customHeight="1" x14ac:dyDescent="0.2">
      <c r="A17" s="380" t="s">
        <v>33</v>
      </c>
      <c r="B17" s="381" t="s">
        <v>384</v>
      </c>
      <c r="C17" s="382"/>
      <c r="D17" s="382"/>
      <c r="E17" s="382"/>
      <c r="F17" s="383"/>
      <c r="I17" s="360" t="s">
        <v>304</v>
      </c>
    </row>
    <row r="18" spans="1:13" ht="17" customHeight="1" x14ac:dyDescent="0.2">
      <c r="A18" s="384"/>
      <c r="B18" s="385" t="s">
        <v>6</v>
      </c>
      <c r="C18" s="386" t="s">
        <v>8</v>
      </c>
      <c r="D18" s="386"/>
      <c r="F18" s="363"/>
    </row>
    <row r="19" spans="1:13" ht="17" customHeight="1" x14ac:dyDescent="0.2">
      <c r="A19" s="384"/>
      <c r="B19" s="387" t="s">
        <v>34</v>
      </c>
      <c r="C19" s="366" t="s">
        <v>35</v>
      </c>
      <c r="D19" s="366"/>
      <c r="F19" s="363"/>
      <c r="I19" s="360">
        <f>_xlfn.XLOOKUP(C19,'NOP Tool lookups'!A4:A10,'NOP Tool lookups'!F4:F10)</f>
        <v>0</v>
      </c>
    </row>
    <row r="20" spans="1:13" ht="17" customHeight="1" x14ac:dyDescent="0.2">
      <c r="A20" s="384"/>
      <c r="B20" s="387" t="s">
        <v>4</v>
      </c>
      <c r="C20" s="366" t="s">
        <v>366</v>
      </c>
      <c r="D20" s="366"/>
      <c r="F20" s="363"/>
      <c r="I20" s="360">
        <f>_xlfn.XLOOKUP(C20,'NOP Tool lookups'!G4:G11,'NOP Tool lookups'!L4:L11)</f>
        <v>1</v>
      </c>
    </row>
    <row r="21" spans="1:13" ht="17" customHeight="1" x14ac:dyDescent="0.2">
      <c r="A21" s="384"/>
      <c r="B21" s="387" t="s">
        <v>5</v>
      </c>
      <c r="C21" s="366" t="s">
        <v>19</v>
      </c>
      <c r="D21" s="366"/>
      <c r="F21" s="363"/>
      <c r="I21" s="360">
        <f>_xlfn.XLOOKUP(C21,'NOP Tool lookups'!M4:M11,'NOP Tool lookups'!R4:R11)</f>
        <v>1</v>
      </c>
    </row>
    <row r="22" spans="1:13" ht="17" customHeight="1" x14ac:dyDescent="0.2">
      <c r="A22" s="384"/>
      <c r="B22" s="387" t="s">
        <v>0</v>
      </c>
      <c r="C22" s="388" t="s">
        <v>45</v>
      </c>
      <c r="D22" s="388"/>
      <c r="F22" s="363"/>
      <c r="I22" s="360">
        <f>_xlfn.XLOOKUP(C22,'NOP Tool lookups'!S4:S9,'NOP Tool lookups'!X4:X9)</f>
        <v>1</v>
      </c>
    </row>
    <row r="23" spans="1:13" ht="36" customHeight="1" x14ac:dyDescent="0.2">
      <c r="A23" s="389"/>
      <c r="B23" s="387" t="s">
        <v>163</v>
      </c>
      <c r="C23" s="366" t="s">
        <v>153</v>
      </c>
      <c r="D23" s="366"/>
      <c r="E23" s="366"/>
      <c r="F23" s="367"/>
      <c r="I23" s="360">
        <f>IF(C23="Centre - City Centre &amp; Metropolitan Centre",1,0)</f>
        <v>0</v>
      </c>
    </row>
    <row r="24" spans="1:13" x14ac:dyDescent="0.25">
      <c r="A24" s="362"/>
      <c r="F24" s="363"/>
    </row>
    <row r="25" spans="1:13" x14ac:dyDescent="0.25">
      <c r="A25" s="481" t="s">
        <v>389</v>
      </c>
      <c r="B25" s="482" t="s">
        <v>293</v>
      </c>
      <c r="C25" s="483"/>
      <c r="D25" s="484"/>
      <c r="E25" s="485"/>
      <c r="F25" s="486"/>
    </row>
    <row r="26" spans="1:13" ht="60" customHeight="1" x14ac:dyDescent="0.2">
      <c r="A26" s="364" t="s">
        <v>297</v>
      </c>
      <c r="B26" s="391" t="s">
        <v>11</v>
      </c>
      <c r="C26" s="392" t="s">
        <v>295</v>
      </c>
      <c r="D26" s="393" t="s">
        <v>378</v>
      </c>
      <c r="E26" s="393" t="s">
        <v>199</v>
      </c>
      <c r="F26" s="394" t="s">
        <v>301</v>
      </c>
      <c r="G26" s="395"/>
      <c r="H26" s="395"/>
      <c r="I26" s="360" t="s">
        <v>303</v>
      </c>
      <c r="J26" s="396" t="s">
        <v>300</v>
      </c>
      <c r="K26" s="396" t="s">
        <v>189</v>
      </c>
      <c r="L26" s="396" t="s">
        <v>190</v>
      </c>
      <c r="M26" s="396" t="s">
        <v>191</v>
      </c>
    </row>
    <row r="27" spans="1:13" ht="17" customHeight="1" x14ac:dyDescent="0.2">
      <c r="A27" s="370"/>
      <c r="B27" s="378" t="s">
        <v>6</v>
      </c>
      <c r="C27" s="397"/>
      <c r="D27" s="398" t="s">
        <v>2</v>
      </c>
      <c r="E27" s="399" t="str">
        <f>_xlfn.XLOOKUP(K27,'NOP Tool lookups'!$J$23:$J$30,'NOP Tool lookups'!$I$23:$I$30)</f>
        <v>C</v>
      </c>
      <c r="F27" s="400"/>
      <c r="J27" s="360" t="str">
        <f>_xlfn.XLOOKUP(C18,'NOP Tool lookups'!$Y$4:$Y$7,'NOP Tool lookups'!$AB$4:$AB$7)</f>
        <v>C</v>
      </c>
      <c r="K27" s="401">
        <f>_xlfn.XLOOKUP(J27,'NOP Tool lookups'!$I$23:$I$30,'NOP Tool lookups'!$J$23:$J$30)</f>
        <v>4</v>
      </c>
      <c r="L27" s="401">
        <f>IF(D27="",0,_xlfn.XLOOKUP(D27,'NOP Tool lookups'!$I$23:$I$30,'NOP Tool lookups'!$J$23:$J$30,0))</f>
        <v>3</v>
      </c>
      <c r="M27" s="401">
        <f>IF(L27&lt;$K27,$K27-L27,0)</f>
        <v>1</v>
      </c>
    </row>
    <row r="28" spans="1:13" ht="17" customHeight="1" x14ac:dyDescent="0.2">
      <c r="A28" s="370"/>
      <c r="B28" s="365" t="s">
        <v>34</v>
      </c>
      <c r="C28" s="402"/>
      <c r="D28" s="398" t="s">
        <v>1</v>
      </c>
      <c r="E28" s="399" t="str">
        <f>_xlfn.XLOOKUP(K28,'NOP Tool lookups'!$J$23:$J$30,'NOP Tool lookups'!$I$23:$I$30)</f>
        <v>C</v>
      </c>
      <c r="F28" s="400"/>
      <c r="J28" s="360" t="str">
        <f>_xlfn.XLOOKUP(C19,'NOP Tool lookups'!$A$4:$A$10,'NOP Tool lookups'!$E$4:$E$10)</f>
        <v>C</v>
      </c>
      <c r="K28" s="401">
        <f>_xlfn.XLOOKUP(J28,'NOP Tool lookups'!$I$23:$I$30,'NOP Tool lookups'!$J$23:$J$30)</f>
        <v>4</v>
      </c>
      <c r="L28" s="401">
        <f>IF(D28="",0,_xlfn.XLOOKUP(D28,'NOP Tool lookups'!$I$24:$I$30,'NOP Tool lookups'!$J$24:$J$30,0))</f>
        <v>4</v>
      </c>
      <c r="M28" s="401">
        <f t="shared" ref="M28:M31" si="1">IF(L28&lt;$K28,$K28-L28,0)</f>
        <v>0</v>
      </c>
    </row>
    <row r="29" spans="1:13" ht="17" customHeight="1" x14ac:dyDescent="0.2">
      <c r="A29" s="370"/>
      <c r="B29" s="403" t="s">
        <v>292</v>
      </c>
      <c r="C29" s="404">
        <v>19</v>
      </c>
      <c r="D29" s="405" t="str">
        <f>IF(C16="","Enter speed limit above",IF(C29&gt;=$K$9,"A",IF(C29&gt;=$K$10,"B",IF(C29&gt;=$K$11,"C",IF(C29&gt;=$K$12,"D",IF(C29&gt;=$K$13,"E","F"))))))</f>
        <v>E</v>
      </c>
      <c r="E29" s="399" t="str">
        <f>_xlfn.XLOOKUP(K29,'NOP Tool lookups'!$J$23:$J$30,'NOP Tool lookups'!$I$23:$I$30)</f>
        <v>C</v>
      </c>
      <c r="F29" s="406" t="str">
        <f>IF(M29&gt;0,"Yes","No")</f>
        <v>Yes</v>
      </c>
      <c r="G29" s="360"/>
      <c r="I29" s="360">
        <f>IF(F29="Yes",1,0)</f>
        <v>1</v>
      </c>
      <c r="J29" s="360" t="str">
        <f>_xlfn.XLOOKUP(C20,'NOP Tool lookups'!$G$4:$G$11,'NOP Tool lookups'!$K$4:$K$11)</f>
        <v>C</v>
      </c>
      <c r="K29" s="401">
        <f>_xlfn.XLOOKUP(J29,'NOP Tool lookups'!$I$23:$I$30,'NOP Tool lookups'!$J$23:$J$30)</f>
        <v>4</v>
      </c>
      <c r="L29" s="401">
        <f>IF(D29="",0,_xlfn.XLOOKUP(D29,'NOP Tool lookups'!$I$24:$I$30,'NOP Tool lookups'!$J$24:$J$30,0))</f>
        <v>2</v>
      </c>
      <c r="M29" s="401">
        <f t="shared" si="1"/>
        <v>2</v>
      </c>
    </row>
    <row r="30" spans="1:13" ht="17" customHeight="1" x14ac:dyDescent="0.2">
      <c r="A30" s="370"/>
      <c r="B30" s="365" t="s">
        <v>5</v>
      </c>
      <c r="C30" s="404">
        <v>32</v>
      </c>
      <c r="D30" s="405" t="str">
        <f>IF(C16="","Enter speed limit above",IF(C30&gt;=$K$9,"A",IF(C30&gt;=$K$10,"B",IF(C30&gt;=$K$11,"C",IF(C30&gt;=$K$12,"D",IF(C30&gt;=$K$13,"E","F"))))))</f>
        <v>C</v>
      </c>
      <c r="E30" s="399" t="str">
        <f>_xlfn.XLOOKUP(K30,'NOP Tool lookups'!$J$23:$J$30,'NOP Tool lookups'!$I$23:$I$30)</f>
        <v>C</v>
      </c>
      <c r="F30" s="406" t="str">
        <f t="shared" ref="F30" si="2">IF(M30&gt;0,"Yes","No")</f>
        <v>No</v>
      </c>
      <c r="G30" s="360"/>
      <c r="I30" s="360">
        <f t="shared" ref="I30:I31" si="3">IF(F30="Yes",1,0)</f>
        <v>0</v>
      </c>
      <c r="J30" s="360" t="str">
        <f>_xlfn.XLOOKUP(C21,'NOP Tool lookups'!$M$4:$M$11,'NOP Tool lookups'!$Q$4:$Q$11)</f>
        <v>C</v>
      </c>
      <c r="K30" s="401">
        <f>_xlfn.XLOOKUP(J30,'NOP Tool lookups'!$I$23:$I$30,'NOP Tool lookups'!$J$23:$J$30)+_xlfn.XLOOKUP($C$23,'NOP Tool lookups'!$AD$4:$AD$15,'NOP Tool lookups'!$AF$4:$AF$15)</f>
        <v>4</v>
      </c>
      <c r="L30" s="401">
        <f>IF(D30="",0,_xlfn.XLOOKUP(D30,'NOP Tool lookups'!$I$24:$I$30,'NOP Tool lookups'!$J$24:$J$30,0))</f>
        <v>4</v>
      </c>
      <c r="M30" s="401">
        <f t="shared" si="1"/>
        <v>0</v>
      </c>
    </row>
    <row r="31" spans="1:13" ht="17" customHeight="1" x14ac:dyDescent="0.2">
      <c r="A31" s="370"/>
      <c r="B31" s="365" t="s">
        <v>0</v>
      </c>
      <c r="C31" s="404">
        <v>22</v>
      </c>
      <c r="D31" s="405" t="str">
        <f>IF(C16="","Enter speed limit above",IF(C31&gt;=$K$9,"A",IF(C31&gt;=$K$10,"B",IF(C31&gt;=$K$11,"C",IF(C31&gt;=$K$12,"D",IF(C31&gt;=$K$13,"E","F"))))))</f>
        <v>D</v>
      </c>
      <c r="E31" s="399" t="str">
        <f>_xlfn.XLOOKUP(K31,'NOP Tool lookups'!$J$23:$J$30,'NOP Tool lookups'!$I$23:$I$30)</f>
        <v>C</v>
      </c>
      <c r="F31" s="406" t="str">
        <f>IF(M31&gt;0,"Yes","No")</f>
        <v>Yes</v>
      </c>
      <c r="G31" s="360"/>
      <c r="I31" s="360">
        <f t="shared" si="3"/>
        <v>1</v>
      </c>
      <c r="J31" s="360" t="str">
        <f>_xlfn.XLOOKUP(C22,'NOP Tool lookups'!$S$4:$S$9,'NOP Tool lookups'!$W$4:$W$9)</f>
        <v>C</v>
      </c>
      <c r="K31" s="401">
        <f>_xlfn.XLOOKUP(J31,'NOP Tool lookups'!$I$23:$I$30,'NOP Tool lookups'!$J$23:$J$30)+_xlfn.XLOOKUP($C$23,'NOP Tool lookups'!$AD$4:$AD$15,'NOP Tool lookups'!$AF$4:$AF$15)</f>
        <v>4</v>
      </c>
      <c r="L31" s="401">
        <f>IF(D31="",0,_xlfn.XLOOKUP(D31,'NOP Tool lookups'!$I$24:$I$30,'NOP Tool lookups'!$J$24:$J$30,0))</f>
        <v>3</v>
      </c>
      <c r="M31" s="401">
        <f t="shared" si="1"/>
        <v>1</v>
      </c>
    </row>
    <row r="32" spans="1:13" ht="17" customHeight="1" x14ac:dyDescent="0.2">
      <c r="A32" s="370"/>
      <c r="B32" s="378" t="s">
        <v>352</v>
      </c>
      <c r="C32" s="407">
        <v>22</v>
      </c>
      <c r="D32" s="405" t="str">
        <f>IF(C16="","Enter speed limit above",IF(C32&gt;=$K$9,"A",IF(C32&gt;=$K$10,"B",IF(C32&gt;=$K$11,"C",IF(C32&gt;=$K$12,"D",IF(C32&gt;=$K$13,"E","F"))))))</f>
        <v>D</v>
      </c>
      <c r="E32" s="408" t="str">
        <f>E31</f>
        <v>C</v>
      </c>
      <c r="F32" s="406" t="str">
        <f>IF(M32&gt;0,"Yes","No")</f>
        <v>Yes</v>
      </c>
      <c r="G32" s="360"/>
      <c r="I32" s="360">
        <f t="shared" ref="I32" si="4">IF(F32="Yes",1,0)</f>
        <v>1</v>
      </c>
      <c r="J32" s="360" t="str">
        <f>J31</f>
        <v>C</v>
      </c>
      <c r="K32" s="401">
        <f>_xlfn.XLOOKUP(J32,'NOP Tool lookups'!$I$23:$I$30,'NOP Tool lookups'!$J$23:$J$30)+_xlfn.XLOOKUP($C$23,'NOP Tool lookups'!$AD$4:$AD$15,'NOP Tool lookups'!$AF$4:$AF$15)</f>
        <v>4</v>
      </c>
      <c r="L32" s="401">
        <f>IF(D32="",0,_xlfn.XLOOKUP(D32,'NOP Tool lookups'!$I$24:$I$30,'NOP Tool lookups'!$J$24:$J$30,0))</f>
        <v>3</v>
      </c>
      <c r="M32" s="401">
        <f t="shared" ref="M32" si="5">IF(L32&lt;$K32,$K32-L32,0)</f>
        <v>1</v>
      </c>
    </row>
    <row r="33" spans="1:24" ht="30" customHeight="1" thickBot="1" x14ac:dyDescent="0.25">
      <c r="A33" s="409"/>
      <c r="B33" s="378" t="s">
        <v>306</v>
      </c>
      <c r="C33" s="388"/>
      <c r="D33" s="388"/>
      <c r="E33" s="388"/>
      <c r="F33" s="410"/>
    </row>
    <row r="34" spans="1:24" ht="25" thickBot="1" x14ac:dyDescent="0.25">
      <c r="A34" s="411" t="str">
        <f>IF(SUM(I29:I31)&gt;0,"A SVL may be appropriate to address existing deficiencies","A SVL is unlikley to be required if network performance is not currently deficient")</f>
        <v>A SVL may be appropriate to address existing deficiencies</v>
      </c>
      <c r="B34" s="412"/>
      <c r="C34" s="412"/>
      <c r="D34" s="412"/>
      <c r="E34" s="412"/>
      <c r="F34" s="413"/>
    </row>
    <row r="35" spans="1:24" x14ac:dyDescent="0.25">
      <c r="A35" s="362"/>
      <c r="F35" s="363"/>
      <c r="X35" s="352"/>
    </row>
    <row r="36" spans="1:24" x14ac:dyDescent="0.25">
      <c r="A36" s="489" t="s">
        <v>252</v>
      </c>
      <c r="B36" s="490" t="s">
        <v>386</v>
      </c>
      <c r="C36" s="467"/>
      <c r="D36" s="468"/>
      <c r="E36" s="469"/>
      <c r="F36" s="470"/>
    </row>
    <row r="37" spans="1:24" ht="17" outlineLevel="1" x14ac:dyDescent="0.2">
      <c r="A37" s="414" t="s">
        <v>61</v>
      </c>
      <c r="B37" s="415" t="s">
        <v>305</v>
      </c>
      <c r="C37" s="416" t="s">
        <v>272</v>
      </c>
      <c r="D37" s="417"/>
      <c r="E37" s="417"/>
      <c r="F37" s="418"/>
      <c r="G37" s="419"/>
      <c r="H37" s="419"/>
    </row>
    <row r="38" spans="1:24" ht="30" outlineLevel="1" x14ac:dyDescent="0.2">
      <c r="A38" s="420"/>
      <c r="B38" s="421" t="s">
        <v>266</v>
      </c>
      <c r="C38" s="422" t="str">
        <f>IF(I20=1,"Yes","No")</f>
        <v>Yes</v>
      </c>
      <c r="D38" s="423"/>
      <c r="E38" s="423"/>
      <c r="F38" s="424"/>
      <c r="G38" s="425"/>
      <c r="H38" s="425"/>
      <c r="I38" s="360" t="str">
        <f>CONCATENATE(C38,C39,C40)</f>
        <v>YesYesYes</v>
      </c>
    </row>
    <row r="39" spans="1:24" ht="30" outlineLevel="1" x14ac:dyDescent="0.2">
      <c r="A39" s="420"/>
      <c r="B39" s="421" t="s">
        <v>267</v>
      </c>
      <c r="C39" s="422" t="str">
        <f t="shared" ref="C39:C40" si="6">IF(I21=1,"Yes","No")</f>
        <v>Yes</v>
      </c>
      <c r="D39" s="423"/>
      <c r="E39" s="423"/>
      <c r="F39" s="424"/>
      <c r="G39" s="425"/>
      <c r="H39" s="425"/>
      <c r="K39" s="426"/>
    </row>
    <row r="40" spans="1:24" ht="30" outlineLevel="1" x14ac:dyDescent="0.2">
      <c r="A40" s="420"/>
      <c r="B40" s="421" t="s">
        <v>268</v>
      </c>
      <c r="C40" s="427" t="str">
        <f t="shared" si="6"/>
        <v>Yes</v>
      </c>
      <c r="D40" s="423"/>
      <c r="E40" s="423"/>
      <c r="F40" s="424"/>
      <c r="G40" s="425"/>
      <c r="H40" s="425"/>
      <c r="K40" s="426"/>
    </row>
    <row r="41" spans="1:24" ht="30" customHeight="1" outlineLevel="1" x14ac:dyDescent="0.2">
      <c r="A41" s="420"/>
      <c r="B41" s="428" t="s">
        <v>251</v>
      </c>
      <c r="C41" s="429" t="str">
        <f>_xlfn.XLOOKUP(I38,'FC Lookups'!B2:B8,'FC Lookups'!C2:C8)</f>
        <v>All, i.e. HV, HV+Bus, HV+T3, HV+T2, Bus, T3 or T2 Lane</v>
      </c>
      <c r="D41" s="429"/>
      <c r="E41" s="429"/>
      <c r="F41" s="430"/>
      <c r="G41" s="425"/>
      <c r="H41" s="425"/>
      <c r="I41" s="425" t="s">
        <v>289</v>
      </c>
    </row>
    <row r="42" spans="1:24" s="351" customFormat="1" ht="16" x14ac:dyDescent="0.2">
      <c r="A42" s="348"/>
      <c r="B42" s="348"/>
      <c r="G42" s="431"/>
      <c r="H42" s="431"/>
      <c r="I42" s="432"/>
    </row>
    <row r="43" spans="1:24" s="351" customFormat="1" ht="36" x14ac:dyDescent="0.2">
      <c r="A43" s="476" t="s">
        <v>250</v>
      </c>
      <c r="B43" s="477" t="s">
        <v>388</v>
      </c>
      <c r="C43" s="478" t="s">
        <v>272</v>
      </c>
      <c r="D43" s="487" t="s">
        <v>307</v>
      </c>
      <c r="E43" s="487"/>
      <c r="F43" s="488"/>
      <c r="G43" s="431"/>
      <c r="H43" s="431"/>
      <c r="I43" s="432"/>
    </row>
    <row r="44" spans="1:24" ht="45" x14ac:dyDescent="0.2">
      <c r="A44" s="420"/>
      <c r="B44" s="421" t="s">
        <v>390</v>
      </c>
      <c r="C44" s="433" t="s">
        <v>64</v>
      </c>
      <c r="D44" s="434"/>
      <c r="E44" s="434"/>
      <c r="F44" s="435"/>
      <c r="G44" s="425"/>
      <c r="H44" s="425"/>
      <c r="I44" s="360" t="str">
        <f>CONCATENATE(C44,C45)</f>
        <v>YesYes</v>
      </c>
    </row>
    <row r="45" spans="1:24" ht="46.5" customHeight="1" outlineLevel="1" x14ac:dyDescent="0.2">
      <c r="A45" s="420"/>
      <c r="B45" s="421" t="s">
        <v>391</v>
      </c>
      <c r="C45" s="436" t="str">
        <f>IF(L27&lt;4,"Yes","No")</f>
        <v>Yes</v>
      </c>
      <c r="D45" s="423"/>
      <c r="E45" s="423"/>
      <c r="F45" s="424"/>
      <c r="G45" s="425"/>
      <c r="H45" s="425"/>
    </row>
    <row r="46" spans="1:24" ht="56" customHeight="1" outlineLevel="1" x14ac:dyDescent="0.2">
      <c r="A46" s="420"/>
      <c r="B46" s="491" t="s">
        <v>393</v>
      </c>
      <c r="C46" s="429" t="str">
        <f>IF(I44="YesYes",_xlfn.XLOOKUP(C41,'FC Lookups'!$C$2:$C$8,'FC Lookups'!$D$2:$D$8),C41)</f>
        <v>Bus, T3 or T2 Lane</v>
      </c>
      <c r="D46" s="429"/>
      <c r="E46" s="429"/>
      <c r="F46" s="430"/>
      <c r="G46" s="425"/>
      <c r="H46" s="425"/>
      <c r="I46" s="425" t="s">
        <v>288</v>
      </c>
    </row>
    <row r="47" spans="1:24" ht="40" outlineLevel="1" x14ac:dyDescent="0.2">
      <c r="A47" s="471" t="s">
        <v>249</v>
      </c>
      <c r="B47" s="472" t="s">
        <v>385</v>
      </c>
      <c r="C47" s="473" t="s">
        <v>272</v>
      </c>
      <c r="D47" s="474" t="s">
        <v>307</v>
      </c>
      <c r="E47" s="474"/>
      <c r="F47" s="475"/>
      <c r="G47" s="425"/>
      <c r="H47" s="425"/>
    </row>
    <row r="48" spans="1:24" ht="33.75" customHeight="1" outlineLevel="1" x14ac:dyDescent="0.2">
      <c r="A48" s="437"/>
      <c r="B48" s="421" t="s">
        <v>375</v>
      </c>
      <c r="C48" s="436" t="str">
        <f>IF(I19=1,"Yes","No")</f>
        <v>No</v>
      </c>
      <c r="D48" s="423"/>
      <c r="E48" s="423"/>
      <c r="F48" s="424"/>
      <c r="I48" s="360" t="str">
        <f>CONCATENATE(C48,C49)</f>
        <v>No</v>
      </c>
    </row>
    <row r="49" spans="1:9" ht="33.75" customHeight="1" x14ac:dyDescent="0.2">
      <c r="A49" s="437"/>
      <c r="B49" s="421" t="s">
        <v>374</v>
      </c>
      <c r="C49" s="433"/>
      <c r="D49" s="434"/>
      <c r="E49" s="434"/>
      <c r="F49" s="435"/>
      <c r="G49" s="353"/>
      <c r="H49" s="425"/>
    </row>
    <row r="50" spans="1:9" ht="103" customHeight="1" outlineLevel="1" x14ac:dyDescent="0.2">
      <c r="A50" s="437"/>
      <c r="B50" s="491" t="s">
        <v>392</v>
      </c>
      <c r="C50" s="429" t="str">
        <f>IF(I48="YesNo",_xlfn.XLOOKUP(C46,'FC Lookups'!$C$2:$C$17,'FC Lookups'!$E$2:$E$17),C46)</f>
        <v>Bus, T3 or T2 Lane</v>
      </c>
      <c r="D50" s="429"/>
      <c r="E50" s="429"/>
      <c r="F50" s="430"/>
      <c r="G50" s="425"/>
      <c r="H50" s="425"/>
      <c r="I50" s="425" t="s">
        <v>376</v>
      </c>
    </row>
    <row r="51" spans="1:9" ht="36" outlineLevel="1" x14ac:dyDescent="0.2">
      <c r="A51" s="476" t="s">
        <v>248</v>
      </c>
      <c r="B51" s="477" t="s">
        <v>387</v>
      </c>
      <c r="C51" s="478" t="s">
        <v>272</v>
      </c>
      <c r="D51" s="479"/>
      <c r="E51" s="479"/>
      <c r="F51" s="480"/>
      <c r="G51" s="425"/>
      <c r="H51" s="425"/>
    </row>
    <row r="52" spans="1:9" ht="33.75" customHeight="1" outlineLevel="1" x14ac:dyDescent="0.2">
      <c r="A52" s="420"/>
      <c r="B52" s="421" t="s">
        <v>308</v>
      </c>
      <c r="C52" s="436" t="str">
        <f>IF(C18="Primary",IF(I23=1,"Yes","No"),"No")</f>
        <v>No</v>
      </c>
      <c r="D52" s="423"/>
      <c r="E52" s="423"/>
      <c r="F52" s="424"/>
      <c r="G52" s="425"/>
      <c r="H52" s="425"/>
      <c r="I52" s="360" t="str">
        <f>CONCATENATE(C52,C53)</f>
        <v>NoYes</v>
      </c>
    </row>
    <row r="53" spans="1:9" ht="47.25" customHeight="1" outlineLevel="1" x14ac:dyDescent="0.2">
      <c r="A53" s="420"/>
      <c r="B53" s="421" t="s">
        <v>379</v>
      </c>
      <c r="C53" s="438" t="str">
        <f>C45</f>
        <v>Yes</v>
      </c>
      <c r="D53" s="423"/>
      <c r="E53" s="423"/>
      <c r="F53" s="424"/>
      <c r="G53" s="425"/>
      <c r="H53" s="425"/>
    </row>
    <row r="54" spans="1:9" ht="55" customHeight="1" outlineLevel="1" x14ac:dyDescent="0.2">
      <c r="A54" s="420"/>
      <c r="B54" s="428" t="s">
        <v>395</v>
      </c>
      <c r="C54" s="429" t="str">
        <f>IF(I52="YesYes",_xlfn.XLOOKUP(C50,'FC Lookups'!$C$2:$C$17,'FC Lookups'!$F$2:$F$17),C50)</f>
        <v>Bus, T3 or T2 Lane</v>
      </c>
      <c r="D54" s="429"/>
      <c r="E54" s="429"/>
      <c r="F54" s="430"/>
      <c r="G54" s="425"/>
      <c r="H54" s="425"/>
      <c r="I54" s="425" t="s">
        <v>273</v>
      </c>
    </row>
    <row r="55" spans="1:9" ht="20" thickBot="1" x14ac:dyDescent="0.3">
      <c r="A55" s="439"/>
      <c r="C55" s="440"/>
      <c r="D55" s="441"/>
      <c r="E55" s="442"/>
      <c r="F55" s="443"/>
    </row>
    <row r="56" spans="1:9" ht="22" thickBot="1" x14ac:dyDescent="0.3">
      <c r="A56" s="444" t="s">
        <v>309</v>
      </c>
      <c r="B56" s="445"/>
      <c r="C56" s="446" t="str">
        <f>C54</f>
        <v>Bus, T3 or T2 Lane</v>
      </c>
      <c r="D56" s="447"/>
      <c r="E56" s="447"/>
      <c r="F56" s="448"/>
      <c r="G56" s="449"/>
    </row>
    <row r="57" spans="1:9" ht="15" x14ac:dyDescent="0.2">
      <c r="A57" s="362"/>
      <c r="B57" s="450"/>
      <c r="C57" s="450"/>
      <c r="F57" s="363"/>
    </row>
    <row r="58" spans="1:9" ht="15" x14ac:dyDescent="0.2">
      <c r="A58" s="451" t="s">
        <v>269</v>
      </c>
      <c r="C58" s="348"/>
      <c r="F58" s="363"/>
    </row>
    <row r="59" spans="1:9" ht="15" x14ac:dyDescent="0.2">
      <c r="A59" s="452" t="s">
        <v>380</v>
      </c>
      <c r="B59" s="453"/>
      <c r="C59" s="453"/>
      <c r="F59" s="363"/>
    </row>
    <row r="60" spans="1:9" s="454" customFormat="1" ht="24.75" customHeight="1" x14ac:dyDescent="0.2">
      <c r="A60" s="656" t="s">
        <v>396</v>
      </c>
      <c r="B60" s="657"/>
      <c r="C60" s="657"/>
      <c r="F60" s="455"/>
      <c r="I60" s="456"/>
    </row>
    <row r="61" spans="1:9" ht="16" x14ac:dyDescent="0.2">
      <c r="A61" s="457" t="s">
        <v>381</v>
      </c>
      <c r="B61" s="458"/>
      <c r="C61" s="458"/>
      <c r="F61" s="363"/>
    </row>
    <row r="62" spans="1:9" s="454" customFormat="1" ht="22.5" customHeight="1" x14ac:dyDescent="0.2">
      <c r="A62" s="459" t="s">
        <v>270</v>
      </c>
      <c r="B62" s="460"/>
      <c r="C62" s="460"/>
      <c r="F62" s="455"/>
      <c r="I62" s="456"/>
    </row>
    <row r="63" spans="1:9" ht="16" x14ac:dyDescent="0.2">
      <c r="A63" s="457" t="s">
        <v>382</v>
      </c>
      <c r="B63" s="458"/>
      <c r="C63" s="458"/>
      <c r="F63" s="363"/>
    </row>
    <row r="64" spans="1:9" ht="15" x14ac:dyDescent="0.2">
      <c r="A64" s="492" t="s">
        <v>394</v>
      </c>
      <c r="B64" s="458"/>
      <c r="C64" s="458"/>
      <c r="F64" s="363"/>
    </row>
    <row r="65" spans="1:9" s="454" customFormat="1" ht="22.5" customHeight="1" x14ac:dyDescent="0.2">
      <c r="A65" s="459" t="s">
        <v>270</v>
      </c>
      <c r="B65" s="460"/>
      <c r="C65" s="460"/>
      <c r="F65" s="455"/>
      <c r="I65" s="456"/>
    </row>
    <row r="66" spans="1:9" ht="16" x14ac:dyDescent="0.2">
      <c r="A66" s="457" t="s">
        <v>383</v>
      </c>
      <c r="B66" s="458"/>
      <c r="C66" s="458"/>
      <c r="F66" s="363"/>
    </row>
    <row r="67" spans="1:9" ht="16" thickBot="1" x14ac:dyDescent="0.25">
      <c r="A67" s="461" t="s">
        <v>270</v>
      </c>
      <c r="B67" s="462"/>
      <c r="C67" s="462"/>
      <c r="D67" s="463"/>
      <c r="E67" s="464"/>
      <c r="F67" s="465"/>
    </row>
    <row r="68" spans="1:9" x14ac:dyDescent="0.25">
      <c r="B68" s="466"/>
    </row>
    <row r="69" spans="1:9" ht="15" x14ac:dyDescent="0.2">
      <c r="C69" s="348"/>
      <c r="D69" s="348"/>
    </row>
  </sheetData>
  <sheetProtection algorithmName="SHA-512" hashValue="FkT4lzutBL9u4v9QYHRrYf3MSemsgZMYJnx5jzzZwpl/olasTvQJ3gsmA172HCFLMfrCFsAtOPKuqU2zGlDuWA==" saltValue="m8HYtF9lM7ILWSYAEVOYfQ==" spinCount="100000" sheet="1" objects="1" scenarios="1" selectLockedCells="1"/>
  <mergeCells count="46">
    <mergeCell ref="A6:D6"/>
    <mergeCell ref="A5:D5"/>
    <mergeCell ref="A4:D4"/>
    <mergeCell ref="B17:F17"/>
    <mergeCell ref="A56:B56"/>
    <mergeCell ref="C8:F8"/>
    <mergeCell ref="C9:F9"/>
    <mergeCell ref="C10:F10"/>
    <mergeCell ref="C11:F11"/>
    <mergeCell ref="C12:F12"/>
    <mergeCell ref="A8:A16"/>
    <mergeCell ref="A44:A46"/>
    <mergeCell ref="A52:A54"/>
    <mergeCell ref="F1:F6"/>
    <mergeCell ref="A59:C59"/>
    <mergeCell ref="C33:F33"/>
    <mergeCell ref="A17:A23"/>
    <mergeCell ref="A26:A33"/>
    <mergeCell ref="C50:F50"/>
    <mergeCell ref="D49:F49"/>
    <mergeCell ref="D48:F48"/>
    <mergeCell ref="D47:F47"/>
    <mergeCell ref="C54:F54"/>
    <mergeCell ref="D37:F37"/>
    <mergeCell ref="D38:F38"/>
    <mergeCell ref="D39:F39"/>
    <mergeCell ref="D40:F40"/>
    <mergeCell ref="C41:F41"/>
    <mergeCell ref="C23:F23"/>
    <mergeCell ref="A38:A41"/>
    <mergeCell ref="A60:C60"/>
    <mergeCell ref="C18:D18"/>
    <mergeCell ref="C19:D19"/>
    <mergeCell ref="C20:D20"/>
    <mergeCell ref="C21:D21"/>
    <mergeCell ref="C22:D22"/>
    <mergeCell ref="D45:F45"/>
    <mergeCell ref="D44:F44"/>
    <mergeCell ref="D43:F43"/>
    <mergeCell ref="C46:F46"/>
    <mergeCell ref="D53:F53"/>
    <mergeCell ref="D52:F52"/>
    <mergeCell ref="D51:F51"/>
    <mergeCell ref="C56:F56"/>
    <mergeCell ref="A34:F34"/>
    <mergeCell ref="A48:A50"/>
  </mergeCells>
  <dataValidations xWindow="511" yWindow="617" count="4">
    <dataValidation type="decimal" allowBlank="1" showInputMessage="1" showErrorMessage="1" error="Numerical value required" prompt="Input existing speeds in km/h" sqref="C29:C32" xr:uid="{573B5E1F-8E10-4959-819F-88392A9DEF2D}">
      <formula1>0</formula1>
      <formula2>110</formula2>
    </dataValidation>
    <dataValidation type="decimal" allowBlank="1" showInputMessage="1" showErrorMessage="1" error="Numerical value for speed limit required" prompt="Input existing speed limit in km/h" sqref="C16" xr:uid="{86D9A6C8-AB70-47FD-A1A0-4E430B11740D}">
      <formula1>0</formula1>
      <formula2>110</formula2>
    </dataValidation>
    <dataValidation type="decimal" operator="greaterThan" allowBlank="1" showInputMessage="1" showErrorMessage="1" error="Numerical value required" prompt="Length of assessed route in km" sqref="C15" xr:uid="{E8C23473-2959-41C7-9AFC-9E536301B47D}">
      <formula1>0</formula1>
    </dataValidation>
    <dataValidation allowBlank="1" showInputMessage="1" showErrorMessage="1" prompt="E.g. Northbound, Inbound, etc." sqref="C13" xr:uid="{B427AA2A-1EAF-4802-952D-E386F9D1C92A}"/>
  </dataValidations>
  <hyperlinks>
    <hyperlink ref="A60:C60" r:id="rId1" display="Download the Application of the Auckland Network Operating Plan July 2025" xr:uid="{92A3266F-A12F-40D1-9CC7-DE073A93AD5E}"/>
    <hyperlink ref="B17" r:id="rId2" display="Future Connect Network Hierarchy" xr:uid="{13F8DD3F-5314-4D2A-B4DF-B73527CDF382}"/>
  </hyperlinks>
  <printOptions horizontalCentered="1"/>
  <pageMargins left="0.19685039370078741" right="0.19685039370078741" top="0.39370078740157483" bottom="0.19685039370078741" header="0.31496062992125984" footer="0.31496062992125984"/>
  <pageSetup paperSize="9" scale="57" orientation="portrait" r:id="rId3"/>
  <headerFooter>
    <oddHeader>&amp;L&amp;F</oddHeader>
  </headerFooter>
  <drawing r:id="rId4"/>
  <extLst>
    <ext xmlns:x14="http://schemas.microsoft.com/office/spreadsheetml/2009/9/main" uri="{CCE6A557-97BC-4b89-ADB6-D9C93CAAB3DF}">
      <x14:dataValidations xmlns:xm="http://schemas.microsoft.com/office/excel/2006/main" xWindow="511" yWindow="617" count="12">
        <x14:dataValidation type="list" allowBlank="1" showInputMessage="1" showErrorMessage="1" xr:uid="{C68524B3-AFEB-4EFB-A2F4-0102EB9F98D1}">
          <x14:formula1>
            <xm:f>'FC Lookups'!$A$2:$A$4</xm:f>
          </x14:formula1>
          <xm:sqref>C38:C40 C52:C53 C45</xm:sqref>
        </x14:dataValidation>
        <x14:dataValidation type="list" allowBlank="1" showInputMessage="1" showErrorMessage="1" xr:uid="{F44C785B-8909-429A-B8AF-F7DF2CC22865}">
          <x14:formula1>
            <xm:f>'FC Lookups'!$C$2:$C$9</xm:f>
          </x14:formula1>
          <xm:sqref>C41</xm:sqref>
        </x14:dataValidation>
        <x14:dataValidation type="list" allowBlank="1" showInputMessage="1" showErrorMessage="1" xr:uid="{8737D9DA-6439-4FBC-8AC2-AD1616997128}">
          <x14:formula1>
            <xm:f>'FC Lookups'!$C$2:$C$17</xm:f>
          </x14:formula1>
          <xm:sqref>C50 C54</xm:sqref>
        </x14:dataValidation>
        <x14:dataValidation type="list" allowBlank="1" showInputMessage="1" showErrorMessage="1" xr:uid="{5B5DEA9A-52AD-4BCF-A2FB-40816A381FFF}">
          <x14:formula1>
            <xm:f>'FC Lookups'!$C$2:$C$15</xm:f>
          </x14:formula1>
          <xm:sqref>C46</xm:sqref>
        </x14:dataValidation>
        <x14:dataValidation type="list" allowBlank="1" showInputMessage="1" showErrorMessage="1" xr:uid="{58B6FA33-223A-45A7-A810-D28DE623197F}">
          <x14:formula1>
            <xm:f>'NOP Tool lookups'!$A$29:$A$34</xm:f>
          </x14:formula1>
          <xm:sqref>D27:D28</xm:sqref>
        </x14:dataValidation>
        <x14:dataValidation type="list" allowBlank="1" showInputMessage="1" showErrorMessage="1" xr:uid="{49FFB0A9-74B6-433A-90EE-38061ACE84F1}">
          <x14:formula1>
            <xm:f>'NOP Tool lookups'!$M$4:$M$11</xm:f>
          </x14:formula1>
          <xm:sqref>C21:D21</xm:sqref>
        </x14:dataValidation>
        <x14:dataValidation type="list" allowBlank="1" showInputMessage="1" showErrorMessage="1" xr:uid="{467B047A-BDC8-4BE8-B78A-2E51CA39CFB9}">
          <x14:formula1>
            <xm:f>'NOP Tool lookups'!$AD$4:$AD$15</xm:f>
          </x14:formula1>
          <xm:sqref>C23</xm:sqref>
        </x14:dataValidation>
        <x14:dataValidation type="list" allowBlank="1" showInputMessage="1" showErrorMessage="1" xr:uid="{3C76DFFF-294E-489F-AC24-D955CDC26324}">
          <x14:formula1>
            <xm:f>'NOP Tool lookups'!$G$4:$G$11</xm:f>
          </x14:formula1>
          <xm:sqref>C20</xm:sqref>
        </x14:dataValidation>
        <x14:dataValidation type="list" allowBlank="1" showInputMessage="1" showErrorMessage="1" xr:uid="{1C15B7ED-AE31-4C63-B34F-2900907056D9}">
          <x14:formula1>
            <xm:f>'NOP Tool lookups'!$S$4:$S$9</xm:f>
          </x14:formula1>
          <xm:sqref>C22</xm:sqref>
        </x14:dataValidation>
        <x14:dataValidation type="list" allowBlank="1" showInputMessage="1" showErrorMessage="1" xr:uid="{EBFDFC72-0789-43E7-9FE9-365A7FA53360}">
          <x14:formula1>
            <xm:f>'NOP Tool lookups'!$Y$4:$Y$7</xm:f>
          </x14:formula1>
          <xm:sqref>C18</xm:sqref>
        </x14:dataValidation>
        <x14:dataValidation type="list" allowBlank="1" showInputMessage="1" showErrorMessage="1" xr:uid="{94A62FED-1EEC-457A-B683-2D03C738833C}">
          <x14:formula1>
            <xm:f>'NOP Tool lookups'!$A$4:$A$10</xm:f>
          </x14:formula1>
          <xm:sqref>C19</xm:sqref>
        </x14:dataValidation>
        <x14:dataValidation type="list" allowBlank="1" showInputMessage="1" showErrorMessage="1" xr:uid="{E3C06852-B0F8-4042-B5C0-50A67C18E19C}">
          <x14:formula1>
            <xm:f>'FC Lookups'!$A$2:$A$3</xm:f>
          </x14:formula1>
          <xm:sqref>C44 C49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08973-64DF-4F3B-A4AD-4D5816BE00C7}">
  <sheetPr codeName="Sheet1">
    <tabColor rgb="FF00B0F0"/>
    <pageSetUpPr fitToPage="1"/>
  </sheetPr>
  <dimension ref="A1:P38"/>
  <sheetViews>
    <sheetView showGridLines="0" showRowColHeaders="0" zoomScaleNormal="100" workbookViewId="0">
      <selection activeCell="C10" sqref="C10"/>
    </sheetView>
  </sheetViews>
  <sheetFormatPr baseColWidth="10" defaultColWidth="9.1640625" defaultRowHeight="15" x14ac:dyDescent="0.2"/>
  <cols>
    <col min="1" max="1" width="46.5" style="353" customWidth="1"/>
    <col min="2" max="6" width="18.1640625" style="353" customWidth="1"/>
    <col min="7" max="7" width="15.33203125" style="353" customWidth="1"/>
    <col min="8" max="8" width="3.6640625" style="353" customWidth="1"/>
    <col min="9" max="16384" width="9.1640625" style="353"/>
  </cols>
  <sheetData>
    <row r="1" spans="1:16" ht="21" x14ac:dyDescent="0.25">
      <c r="A1" s="493" t="s">
        <v>330</v>
      </c>
    </row>
    <row r="2" spans="1:16" ht="19" x14ac:dyDescent="0.2">
      <c r="A2" s="390" t="s">
        <v>343</v>
      </c>
    </row>
    <row r="3" spans="1:16" ht="28.5" customHeight="1" x14ac:dyDescent="0.2">
      <c r="A3" s="494" t="str">
        <f>'1-FC and Land Use Inputs'!B8</f>
        <v>Project Name</v>
      </c>
      <c r="B3" s="495" t="str">
        <f>IF(ISBLANK('1-FC and Land Use Inputs'!C8),"",'1-FC and Land Use Inputs'!C8)</f>
        <v/>
      </c>
      <c r="C3" s="495"/>
      <c r="D3" s="496"/>
      <c r="E3" s="496"/>
      <c r="F3" s="497"/>
    </row>
    <row r="4" spans="1:16" x14ac:dyDescent="0.2">
      <c r="A4" s="494" t="str">
        <f>'1-FC and Land Use Inputs'!B13</f>
        <v>Direction of travel assessed</v>
      </c>
      <c r="B4" s="498" t="str">
        <f>IF(ISBLANK('1-FC and Land Use Inputs'!C13),"",'1-FC and Land Use Inputs'!C13)</f>
        <v/>
      </c>
    </row>
    <row r="5" spans="1:16" x14ac:dyDescent="0.2">
      <c r="A5" s="494" t="s">
        <v>290</v>
      </c>
      <c r="B5" s="499" t="str">
        <f>IF(ISBLANK('1-FC and Land Use Inputs'!C14),"",'1-FC and Land Use Inputs'!C14)</f>
        <v/>
      </c>
    </row>
    <row r="6" spans="1:16" x14ac:dyDescent="0.2">
      <c r="A6" s="494" t="s">
        <v>341</v>
      </c>
      <c r="B6" s="500" t="str">
        <f>IF(ISBLANK('1-FC and Land Use Inputs'!C56),"",'1-FC and Land Use Inputs'!C56)</f>
        <v>Bus, T3 or T2 Lane</v>
      </c>
      <c r="C6" s="500"/>
      <c r="D6" s="501"/>
      <c r="E6" s="501"/>
      <c r="F6" s="497"/>
    </row>
    <row r="8" spans="1:16" ht="16" x14ac:dyDescent="0.2">
      <c r="A8" s="502" t="s">
        <v>331</v>
      </c>
      <c r="B8" s="503"/>
      <c r="C8" s="503"/>
      <c r="D8" s="503"/>
      <c r="E8" s="503"/>
    </row>
    <row r="9" spans="1:16" ht="16" x14ac:dyDescent="0.2">
      <c r="A9" s="504" t="s">
        <v>11</v>
      </c>
      <c r="B9" s="391" t="s">
        <v>311</v>
      </c>
      <c r="C9" s="391" t="s">
        <v>312</v>
      </c>
      <c r="D9" s="393" t="s">
        <v>357</v>
      </c>
      <c r="E9" s="393" t="s">
        <v>358</v>
      </c>
      <c r="K9" s="348"/>
      <c r="L9" s="348"/>
      <c r="M9" s="348"/>
      <c r="N9" s="348"/>
      <c r="O9" s="348"/>
      <c r="P9" s="348"/>
    </row>
    <row r="10" spans="1:16" x14ac:dyDescent="0.2">
      <c r="A10" s="494" t="s">
        <v>224</v>
      </c>
      <c r="B10" s="505">
        <f>C10/C15</f>
        <v>9.0497737556561094E-3</v>
      </c>
      <c r="C10" s="506">
        <v>10</v>
      </c>
      <c r="D10" s="507">
        <v>20</v>
      </c>
      <c r="E10" s="508">
        <f>C10*D10</f>
        <v>200</v>
      </c>
      <c r="K10" s="348"/>
      <c r="L10" s="348"/>
      <c r="M10" s="348"/>
      <c r="N10" s="348"/>
      <c r="O10" s="348"/>
      <c r="P10" s="348"/>
    </row>
    <row r="11" spans="1:16" x14ac:dyDescent="0.2">
      <c r="A11" s="494" t="s">
        <v>5</v>
      </c>
      <c r="B11" s="509"/>
      <c r="C11" s="508">
        <f t="shared" ref="C11:C14" si="0">B11*$C$15</f>
        <v>0</v>
      </c>
      <c r="D11" s="507">
        <v>1</v>
      </c>
      <c r="E11" s="508">
        <f t="shared" ref="E11:E14" si="1">C11*D11</f>
        <v>0</v>
      </c>
      <c r="K11" s="348"/>
      <c r="L11" s="348"/>
      <c r="M11" s="348"/>
      <c r="N11" s="348"/>
      <c r="O11" s="348"/>
      <c r="P11" s="348"/>
    </row>
    <row r="12" spans="1:16" x14ac:dyDescent="0.2">
      <c r="A12" s="494" t="s">
        <v>355</v>
      </c>
      <c r="B12" s="509"/>
      <c r="C12" s="508">
        <f t="shared" si="0"/>
        <v>0</v>
      </c>
      <c r="D12" s="507">
        <v>3</v>
      </c>
      <c r="E12" s="508">
        <f t="shared" si="1"/>
        <v>0</v>
      </c>
    </row>
    <row r="13" spans="1:16" x14ac:dyDescent="0.2">
      <c r="A13" s="494" t="s">
        <v>356</v>
      </c>
      <c r="B13" s="509"/>
      <c r="C13" s="508">
        <f t="shared" si="0"/>
        <v>0</v>
      </c>
      <c r="D13" s="510">
        <v>2</v>
      </c>
      <c r="E13" s="508">
        <f t="shared" si="1"/>
        <v>0</v>
      </c>
    </row>
    <row r="14" spans="1:16" ht="16" thickBot="1" x14ac:dyDescent="0.25">
      <c r="A14" s="511" t="s">
        <v>221</v>
      </c>
      <c r="B14" s="512">
        <f>1-B10-B11-B12-B13</f>
        <v>0.99095022624434392</v>
      </c>
      <c r="C14" s="513">
        <f t="shared" si="0"/>
        <v>1095</v>
      </c>
      <c r="D14" s="514">
        <v>1</v>
      </c>
      <c r="E14" s="513">
        <f t="shared" si="1"/>
        <v>1095</v>
      </c>
    </row>
    <row r="15" spans="1:16" ht="16" thickTop="1" x14ac:dyDescent="0.2">
      <c r="A15" s="515" t="s">
        <v>310</v>
      </c>
      <c r="B15" s="516">
        <v>1</v>
      </c>
      <c r="C15" s="517">
        <v>1105</v>
      </c>
      <c r="D15" s="348"/>
      <c r="E15" s="518">
        <f>SUM(E10:E14)</f>
        <v>1295</v>
      </c>
    </row>
    <row r="16" spans="1:16" x14ac:dyDescent="0.2">
      <c r="B16" s="401" t="str">
        <f>IF(B15&gt;1,"Cannot be &gt;100%","")</f>
        <v/>
      </c>
    </row>
    <row r="17" spans="1:16" ht="16" x14ac:dyDescent="0.2">
      <c r="A17" s="519" t="s">
        <v>318</v>
      </c>
      <c r="B17" s="520"/>
      <c r="C17" s="520"/>
      <c r="D17" s="520"/>
      <c r="E17" s="521"/>
    </row>
    <row r="18" spans="1:16" ht="16" x14ac:dyDescent="0.2">
      <c r="A18" s="504" t="s">
        <v>217</v>
      </c>
      <c r="B18" s="391" t="s">
        <v>319</v>
      </c>
      <c r="C18" s="393" t="s">
        <v>219</v>
      </c>
      <c r="D18" s="522" t="s">
        <v>360</v>
      </c>
      <c r="E18" s="523"/>
    </row>
    <row r="19" spans="1:16" x14ac:dyDescent="0.2">
      <c r="A19" s="494" t="s">
        <v>313</v>
      </c>
      <c r="B19" s="524" t="s">
        <v>239</v>
      </c>
      <c r="C19" s="525">
        <v>2</v>
      </c>
      <c r="D19" s="526"/>
      <c r="E19" s="527"/>
    </row>
    <row r="20" spans="1:16" x14ac:dyDescent="0.2">
      <c r="A20" s="494" t="s">
        <v>316</v>
      </c>
      <c r="B20" s="524" t="s">
        <v>236</v>
      </c>
      <c r="C20" s="525">
        <v>4</v>
      </c>
      <c r="D20" s="526"/>
      <c r="E20" s="527"/>
    </row>
    <row r="21" spans="1:16" x14ac:dyDescent="0.2">
      <c r="A21" s="494" t="s">
        <v>317</v>
      </c>
      <c r="B21" s="524" t="s">
        <v>84</v>
      </c>
      <c r="C21" s="525">
        <v>4</v>
      </c>
      <c r="D21" s="528"/>
      <c r="E21" s="529"/>
    </row>
    <row r="22" spans="1:16" x14ac:dyDescent="0.2">
      <c r="B22" s="530" t="str">
        <f>IF(B21="","No",IF(B21="N/A","No","Yes"))</f>
        <v>No</v>
      </c>
    </row>
    <row r="23" spans="1:16" ht="16" x14ac:dyDescent="0.2">
      <c r="A23" s="519" t="s">
        <v>346</v>
      </c>
      <c r="B23" s="520"/>
      <c r="C23" s="520"/>
      <c r="D23" s="520"/>
      <c r="E23" s="521"/>
      <c r="F23" s="348"/>
      <c r="G23" s="531"/>
    </row>
    <row r="24" spans="1:16" ht="30.75" customHeight="1" x14ac:dyDescent="0.2">
      <c r="A24" s="532" t="s">
        <v>324</v>
      </c>
      <c r="B24" s="393" t="s">
        <v>353</v>
      </c>
      <c r="C24" s="533" t="s">
        <v>0</v>
      </c>
      <c r="D24" s="533" t="s">
        <v>5</v>
      </c>
      <c r="E24" s="533" t="s">
        <v>354</v>
      </c>
      <c r="F24" s="534"/>
      <c r="G24" s="395"/>
      <c r="P24" s="348"/>
    </row>
    <row r="25" spans="1:16" x14ac:dyDescent="0.2">
      <c r="A25" s="535" t="str">
        <f>CONCATENATE(A19," - ",B19)</f>
        <v>Base case - T3 Lane</v>
      </c>
      <c r="B25" s="536">
        <f>'1-FC and Land Use Inputs'!C29</f>
        <v>19</v>
      </c>
      <c r="C25" s="536">
        <f>'1-FC and Land Use Inputs'!C31</f>
        <v>22</v>
      </c>
      <c r="D25" s="536">
        <f>'1-FC and Land Use Inputs'!C30</f>
        <v>32</v>
      </c>
      <c r="E25" s="536">
        <f>'1-FC and Land Use Inputs'!C32</f>
        <v>22</v>
      </c>
      <c r="G25" s="537"/>
    </row>
    <row r="26" spans="1:16" x14ac:dyDescent="0.2">
      <c r="A26" s="535" t="str">
        <f>CONCATENATE(A20," - ",B20)</f>
        <v>Option 1 - HV + Bus Lane</v>
      </c>
      <c r="B26" s="538">
        <v>21</v>
      </c>
      <c r="C26" s="538">
        <v>2</v>
      </c>
      <c r="D26" s="538">
        <v>25</v>
      </c>
      <c r="E26" s="538">
        <v>18</v>
      </c>
      <c r="G26" s="537"/>
    </row>
    <row r="27" spans="1:16" x14ac:dyDescent="0.2">
      <c r="A27" s="535" t="str">
        <f>CONCATENATE(A21," - ",B21)</f>
        <v>Option 2 - N/A</v>
      </c>
      <c r="B27" s="538">
        <v>8</v>
      </c>
      <c r="C27" s="538">
        <v>2</v>
      </c>
      <c r="D27" s="538">
        <v>8</v>
      </c>
      <c r="E27" s="538">
        <v>8</v>
      </c>
      <c r="G27" s="537"/>
    </row>
    <row r="28" spans="1:16" x14ac:dyDescent="0.2">
      <c r="A28" s="539" t="s">
        <v>359</v>
      </c>
    </row>
    <row r="29" spans="1:16" x14ac:dyDescent="0.2">
      <c r="B29" s="540">
        <f>MAX(C19:C21)</f>
        <v>4</v>
      </c>
    </row>
    <row r="30" spans="1:16" ht="19" x14ac:dyDescent="0.2">
      <c r="A30" s="541" t="s">
        <v>323</v>
      </c>
      <c r="B30" s="542"/>
      <c r="C30" s="542"/>
      <c r="D30" s="542"/>
      <c r="E30" s="542"/>
      <c r="F30" s="497"/>
    </row>
    <row r="31" spans="1:16" x14ac:dyDescent="0.2">
      <c r="A31" s="543"/>
      <c r="B31" s="544"/>
      <c r="C31" s="544"/>
      <c r="D31" s="545"/>
      <c r="E31" s="545"/>
      <c r="F31" s="497"/>
    </row>
    <row r="32" spans="1:16" x14ac:dyDescent="0.2">
      <c r="A32" s="543"/>
      <c r="B32" s="544"/>
      <c r="C32" s="544"/>
      <c r="D32" s="545"/>
      <c r="E32" s="545"/>
      <c r="F32" s="497"/>
    </row>
    <row r="33" spans="1:8" ht="15" customHeight="1" x14ac:dyDescent="0.2">
      <c r="A33" s="546"/>
      <c r="B33" s="544"/>
      <c r="C33" s="544"/>
      <c r="D33" s="545"/>
      <c r="E33" s="545"/>
      <c r="F33" s="497"/>
    </row>
    <row r="34" spans="1:8" ht="15" customHeight="1" x14ac:dyDescent="0.2">
      <c r="A34" s="547"/>
      <c r="B34" s="548"/>
      <c r="C34" s="548"/>
      <c r="D34" s="548"/>
      <c r="E34" s="549"/>
      <c r="F34" s="497"/>
    </row>
    <row r="35" spans="1:8" x14ac:dyDescent="0.2">
      <c r="A35" s="547"/>
      <c r="B35" s="548"/>
      <c r="C35" s="548"/>
      <c r="D35" s="548"/>
      <c r="E35" s="549"/>
      <c r="F35" s="497"/>
    </row>
    <row r="36" spans="1:8" ht="15" customHeight="1" x14ac:dyDescent="0.2">
      <c r="A36" s="547"/>
      <c r="B36" s="548"/>
      <c r="C36" s="548"/>
      <c r="D36" s="548"/>
      <c r="E36" s="549"/>
      <c r="F36" s="497"/>
    </row>
    <row r="37" spans="1:8" x14ac:dyDescent="0.2">
      <c r="A37" s="348"/>
      <c r="B37" s="348"/>
      <c r="C37" s="348"/>
      <c r="D37" s="348"/>
      <c r="E37" s="348"/>
      <c r="F37" s="348"/>
      <c r="G37" s="348"/>
      <c r="H37" s="348"/>
    </row>
    <row r="38" spans="1:8" x14ac:dyDescent="0.2">
      <c r="A38" s="348"/>
      <c r="B38" s="348"/>
      <c r="C38" s="348"/>
      <c r="D38" s="348"/>
      <c r="E38" s="348"/>
      <c r="F38" s="348"/>
      <c r="G38" s="348"/>
      <c r="H38" s="348"/>
    </row>
  </sheetData>
  <sheetProtection algorithmName="SHA-512" hashValue="P+s7JLVG+onb5H7zC0DDB5aGIZuHXqlfJgcob6FbTt5Hk7nDzX4DjnUaEkZdGumRQXS3GqcfuYPAwH/O+nx18Q==" saltValue="UwaRs1mVh/Obs8Hc9Cs3ew==" spinCount="100000" sheet="1" selectLockedCells="1"/>
  <mergeCells count="14">
    <mergeCell ref="A36:E36"/>
    <mergeCell ref="A30:E30"/>
    <mergeCell ref="A31:E31"/>
    <mergeCell ref="A32:E32"/>
    <mergeCell ref="A34:E34"/>
    <mergeCell ref="A35:E35"/>
    <mergeCell ref="A33:E33"/>
    <mergeCell ref="A17:E17"/>
    <mergeCell ref="A23:E23"/>
    <mergeCell ref="D18:E18"/>
    <mergeCell ref="D21:E21"/>
    <mergeCell ref="B3:E3"/>
    <mergeCell ref="B6:E6"/>
    <mergeCell ref="A8:E8"/>
  </mergeCells>
  <conditionalFormatting sqref="B15">
    <cfRule type="cellIs" dxfId="72" priority="20" operator="greaterThan">
      <formula>1</formula>
    </cfRule>
    <cfRule type="cellIs" dxfId="71" priority="21" operator="greaterThan">
      <formula>100</formula>
    </cfRule>
  </conditionalFormatting>
  <conditionalFormatting sqref="C21:E21 A27:E27">
    <cfRule type="expression" dxfId="70" priority="13">
      <formula>$B$22="No"</formula>
    </cfRule>
  </conditionalFormatting>
  <dataValidations count="9">
    <dataValidation type="whole" allowBlank="1" showInputMessage="1" showErrorMessage="1" error="Value between 1 and 4 expected" sqref="C19" xr:uid="{EC3869AB-D9FB-458F-A0C2-3CF6760B9A81}">
      <formula1>1</formula1>
      <formula2>4</formula2>
    </dataValidation>
    <dataValidation type="decimal" allowBlank="1" showInputMessage="1" showErrorMessage="1" sqref="B25:E27" xr:uid="{FC3912C7-7B42-42A6-9169-738E935AAB8A}">
      <formula1>0</formula1>
      <formula2>110</formula2>
    </dataValidation>
    <dataValidation type="whole" allowBlank="1" showInputMessage="1" showErrorMessage="1" error="Value between 2 and 4 expected" sqref="C20:C21" xr:uid="{F674BA46-BE02-47F3-8D97-1734EC41C8B2}">
      <formula1>2</formula1>
      <formula2>4</formula2>
    </dataValidation>
    <dataValidation allowBlank="1" showInputMessage="1" showErrorMessage="1" prompt="Input % of freight vehicles" sqref="B11" xr:uid="{04C2C172-40C9-46B2-A1BA-30C636F4203A}"/>
    <dataValidation allowBlank="1" showInputMessage="1" showErrorMessage="1" prompt="Input % of vehicles with 3 or more occupants" sqref="B12" xr:uid="{3C7F9397-1E8D-4A6E-8CC7-D8D6CBBBD8BD}"/>
    <dataValidation allowBlank="1" showInputMessage="1" showErrorMessage="1" prompt="Input % of vehicles with 2 occupants" sqref="B13" xr:uid="{060FADBC-7CF8-4000-9F43-0FE73D083DCE}"/>
    <dataValidation allowBlank="1" showInputMessage="1" showErrorMessage="1" prompt="Input the number of buses per hour" sqref="C10:E10" xr:uid="{FE0DBAF4-B01A-4223-9C83-A010EA58C375}"/>
    <dataValidation allowBlank="1" showInputMessage="1" showErrorMessage="1" prompt="Input the total number of vehicles per hour" sqref="C15" xr:uid="{DAF265E4-4E7B-4278-9392-C3F6435FCDAD}"/>
    <dataValidation allowBlank="1" showInputMessage="1" showErrorMessage="1" prompt="Input the average occupancy of each bus" sqref="D10:E10" xr:uid="{8DBB7989-BDBD-4E02-BF03-DB1C12813A0B}"/>
  </dataValidations>
  <printOptions horizontalCentered="1"/>
  <pageMargins left="0.19685039370078741" right="0.19685039370078741" top="0.59055118110236227" bottom="0.19685039370078741" header="0.31496062992125984" footer="0.31496062992125984"/>
  <pageSetup paperSize="9" scale="84" orientation="portrait" r:id="rId1"/>
  <headerFooter>
    <oddHeader>&amp;L&amp;F</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E3B9989-68A6-42AB-9A35-5CADFD44FF73}">
          <x14:formula1>
            <xm:f>'FC Lookups'!$H$2:$H$9</xm:f>
          </x14:formula1>
          <xm:sqref>B19:B20</xm:sqref>
        </x14:dataValidation>
        <x14:dataValidation type="list" allowBlank="1" showInputMessage="1" showErrorMessage="1" xr:uid="{A5BF6E3A-CE64-49BC-A584-CEF13FDD3E28}">
          <x14:formula1>
            <xm:f>'FC Lookups'!$H$2:$H$10</xm:f>
          </x14:formula1>
          <xm:sqref>B21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C40B8-5C55-4CC9-B606-341B1455D2AC}">
  <sheetPr codeName="Sheet2">
    <tabColor rgb="FF00B050"/>
    <pageSetUpPr fitToPage="1"/>
  </sheetPr>
  <dimension ref="A1:U63"/>
  <sheetViews>
    <sheetView showGridLines="0" showRowColHeaders="0" topLeftCell="A28" zoomScaleNormal="100" workbookViewId="0">
      <selection activeCell="C29" sqref="C29"/>
    </sheetView>
  </sheetViews>
  <sheetFormatPr baseColWidth="10" defaultColWidth="9.1640625" defaultRowHeight="15" x14ac:dyDescent="0.2"/>
  <cols>
    <col min="1" max="1" width="29" style="353" customWidth="1"/>
    <col min="2" max="9" width="14.83203125" style="353" customWidth="1"/>
    <col min="10" max="10" width="9.1640625" style="353"/>
    <col min="11" max="11" width="9.5" style="353" bestFit="1" customWidth="1"/>
    <col min="12" max="16384" width="9.1640625" style="353"/>
  </cols>
  <sheetData>
    <row r="1" spans="1:21" ht="21" x14ac:dyDescent="0.25">
      <c r="A1" s="342" t="s">
        <v>332</v>
      </c>
      <c r="B1" s="345"/>
      <c r="C1" s="345"/>
      <c r="D1" s="345"/>
      <c r="E1" s="345"/>
      <c r="F1" s="345"/>
      <c r="G1" s="345"/>
      <c r="H1" s="345"/>
      <c r="I1" s="550" t="e" vm="1">
        <v>#VALUE!</v>
      </c>
    </row>
    <row r="2" spans="1:21" ht="73.5" customHeight="1" x14ac:dyDescent="0.2">
      <c r="A2" s="551"/>
      <c r="I2" s="552"/>
    </row>
    <row r="3" spans="1:21" ht="30.75" customHeight="1" x14ac:dyDescent="0.2">
      <c r="A3" s="494" t="s">
        <v>25</v>
      </c>
      <c r="B3" s="496" t="str">
        <f>IF(ISBLANK('1-FC and Land Use Inputs'!C8),"",'1-FC and Land Use Inputs'!C8)</f>
        <v/>
      </c>
      <c r="C3" s="553"/>
      <c r="D3" s="553"/>
      <c r="E3" s="553"/>
      <c r="F3" s="554" t="s">
        <v>294</v>
      </c>
      <c r="G3" s="554"/>
      <c r="H3" s="500" t="str">
        <f>IF(ISBLANK('1-FC and Land Use Inputs'!C13),"",'1-FC and Land Use Inputs'!C13)</f>
        <v/>
      </c>
      <c r="I3" s="555"/>
    </row>
    <row r="4" spans="1:21" ht="30" customHeight="1" x14ac:dyDescent="0.2">
      <c r="A4" s="494" t="s">
        <v>28</v>
      </c>
      <c r="B4" s="496" t="str">
        <f>IF(ISBLANK('1-FC and Land Use Inputs'!C9),"",'1-FC and Land Use Inputs'!C9)</f>
        <v/>
      </c>
      <c r="C4" s="553"/>
      <c r="D4" s="553"/>
      <c r="E4" s="553"/>
      <c r="F4" s="554" t="s">
        <v>290</v>
      </c>
      <c r="G4" s="554"/>
      <c r="H4" s="500" t="str">
        <f>IF(ISBLANK('1-FC and Land Use Inputs'!C14),"",'1-FC and Land Use Inputs'!C14)</f>
        <v/>
      </c>
      <c r="I4" s="555"/>
    </row>
    <row r="5" spans="1:21" x14ac:dyDescent="0.2">
      <c r="A5" s="494" t="s">
        <v>27</v>
      </c>
      <c r="B5" s="556" t="str">
        <f>IF(ISBLANK('1-FC and Land Use Inputs'!C11),"",'1-FC and Land Use Inputs'!C11)</f>
        <v/>
      </c>
      <c r="C5" s="557"/>
      <c r="D5" s="348"/>
      <c r="E5" s="348"/>
      <c r="I5" s="558"/>
    </row>
    <row r="6" spans="1:21" ht="15" customHeight="1" x14ac:dyDescent="0.2">
      <c r="A6" s="494" t="s">
        <v>29</v>
      </c>
      <c r="B6" s="556" t="str">
        <f>IF(ISBLANK('1-FC and Land Use Inputs'!C12),"",'1-FC and Land Use Inputs'!C12)</f>
        <v/>
      </c>
      <c r="C6" s="557"/>
      <c r="D6" s="348"/>
      <c r="E6" s="348"/>
      <c r="I6" s="558"/>
    </row>
    <row r="7" spans="1:21" x14ac:dyDescent="0.2">
      <c r="A7" s="551"/>
      <c r="I7" s="558"/>
    </row>
    <row r="8" spans="1:21" ht="19" x14ac:dyDescent="0.2">
      <c r="A8" s="559" t="s">
        <v>327</v>
      </c>
      <c r="B8" s="560"/>
      <c r="C8" s="560"/>
      <c r="D8" s="560"/>
      <c r="E8" s="560"/>
      <c r="F8" s="560"/>
      <c r="G8" s="560"/>
      <c r="H8" s="560"/>
      <c r="I8" s="561"/>
      <c r="J8" s="348"/>
      <c r="K8" s="348"/>
      <c r="L8" s="348"/>
    </row>
    <row r="9" spans="1:21" s="348" customFormat="1" ht="32" x14ac:dyDescent="0.2">
      <c r="A9" s="362"/>
      <c r="G9" s="562" t="str">
        <f>'1-FC and Land Use Inputs'!B29</f>
        <v>Public Transport - Bus</v>
      </c>
      <c r="H9" s="562" t="str">
        <f>'1-FC and Land Use Inputs'!B30</f>
        <v>Freight</v>
      </c>
      <c r="I9" s="563" t="str">
        <f>'1-FC and Land Use Inputs'!B31</f>
        <v>General Traffic</v>
      </c>
    </row>
    <row r="10" spans="1:21" ht="40.5" customHeight="1" x14ac:dyDescent="0.2">
      <c r="A10" s="564" t="str">
        <f>IF(SUM(G11:I11)&gt;0,"An assessment of LoS by mode against the Auckland Network Operating Plan indicates that there are deficiencies with the following modes:","An assessment of LoS by mode against the Auckland Network Operating Plan indicates that there are no current deficiencies for vehiclular modes.")</f>
        <v>An assessment of LoS by mode against the Auckland Network Operating Plan indicates that there are deficiencies with the following modes:</v>
      </c>
      <c r="B10" s="565"/>
      <c r="C10" s="565"/>
      <c r="D10" s="565"/>
      <c r="E10" s="565"/>
      <c r="F10" s="565"/>
      <c r="G10" s="566" t="str">
        <f>'1-FC and Land Use Inputs'!F29</f>
        <v>Yes</v>
      </c>
      <c r="H10" s="567" t="str">
        <f>'1-FC and Land Use Inputs'!F30</f>
        <v>No</v>
      </c>
      <c r="I10" s="568" t="str">
        <f>'1-FC and Land Use Inputs'!F31</f>
        <v>Yes</v>
      </c>
      <c r="J10" s="348"/>
      <c r="K10" s="348"/>
      <c r="L10" s="348"/>
    </row>
    <row r="11" spans="1:21" ht="45" customHeight="1" x14ac:dyDescent="0.2">
      <c r="A11" s="494" t="s">
        <v>325</v>
      </c>
      <c r="B11" s="569" t="str">
        <f>'1-FC and Land Use Inputs'!A34</f>
        <v>A SVL may be appropriate to address existing deficiencies</v>
      </c>
      <c r="C11" s="569"/>
      <c r="D11" s="569"/>
      <c r="E11" s="569"/>
      <c r="F11" s="569"/>
      <c r="G11" s="353">
        <f>IF(G10="Yes",1,0)</f>
        <v>1</v>
      </c>
      <c r="H11" s="353">
        <f>IF(H10="Yes",1,0)</f>
        <v>0</v>
      </c>
      <c r="I11" s="558">
        <f>IF(I10="Yes",1,0)</f>
        <v>1</v>
      </c>
      <c r="J11" s="348"/>
      <c r="K11" s="348"/>
      <c r="L11" s="348"/>
      <c r="N11" s="348"/>
      <c r="O11" s="348"/>
      <c r="P11" s="348"/>
      <c r="Q11" s="348"/>
      <c r="R11" s="348"/>
      <c r="S11" s="348"/>
      <c r="T11" s="348"/>
      <c r="U11" s="348"/>
    </row>
    <row r="12" spans="1:21" ht="48" x14ac:dyDescent="0.2">
      <c r="A12" s="570" t="s">
        <v>321</v>
      </c>
      <c r="B12" s="571" t="str">
        <f>'1-FC and Land Use Inputs'!C56</f>
        <v>Bus, T3 or T2 Lane</v>
      </c>
      <c r="C12" s="571"/>
      <c r="D12" s="571"/>
      <c r="E12" s="571"/>
      <c r="F12" s="571"/>
      <c r="G12" s="572"/>
      <c r="H12" s="572"/>
      <c r="I12" s="573"/>
      <c r="J12" s="348"/>
      <c r="K12" s="348"/>
      <c r="L12" s="348"/>
    </row>
    <row r="13" spans="1:21" x14ac:dyDescent="0.2">
      <c r="A13" s="551"/>
      <c r="I13" s="558"/>
      <c r="J13" s="348"/>
      <c r="K13" s="348"/>
      <c r="L13" s="348"/>
    </row>
    <row r="14" spans="1:21" ht="22.5" customHeight="1" x14ac:dyDescent="0.2">
      <c r="A14" s="574" t="s">
        <v>326</v>
      </c>
      <c r="B14" s="575"/>
      <c r="C14" s="575"/>
      <c r="D14" s="575"/>
      <c r="E14" s="575"/>
      <c r="F14" s="575"/>
      <c r="G14" s="575"/>
      <c r="H14" s="575"/>
      <c r="I14" s="576"/>
      <c r="J14" s="348"/>
      <c r="K14" s="348"/>
      <c r="L14" s="348"/>
    </row>
    <row r="15" spans="1:21" ht="16" x14ac:dyDescent="0.2">
      <c r="A15" s="577" t="s">
        <v>334</v>
      </c>
      <c r="B15" s="520"/>
      <c r="C15" s="520"/>
      <c r="D15" s="520"/>
      <c r="E15" s="520"/>
      <c r="I15" s="558"/>
      <c r="J15" s="348"/>
      <c r="K15" s="348"/>
      <c r="L15" s="348"/>
    </row>
    <row r="16" spans="1:21" ht="16" x14ac:dyDescent="0.2">
      <c r="A16" s="504" t="s">
        <v>217</v>
      </c>
      <c r="B16" s="391" t="str">
        <f>B22</f>
        <v>Buses</v>
      </c>
      <c r="C16" s="391" t="str">
        <f>C22</f>
        <v>General Traffic</v>
      </c>
      <c r="D16" s="391" t="str">
        <f>D22</f>
        <v>Freight</v>
      </c>
      <c r="E16" s="393" t="str">
        <f>E22</f>
        <v>T2 or T3 vehicles</v>
      </c>
      <c r="I16" s="558"/>
      <c r="J16" s="348"/>
      <c r="L16" s="348"/>
    </row>
    <row r="17" spans="1:15" x14ac:dyDescent="0.2">
      <c r="A17" s="494" t="str">
        <f>A23</f>
        <v>Base case - T3 Lane</v>
      </c>
      <c r="B17" s="536">
        <f>'2-Productivity Inputs'!B25</f>
        <v>19</v>
      </c>
      <c r="C17" s="536">
        <f>'2-Productivity Inputs'!C25</f>
        <v>22</v>
      </c>
      <c r="D17" s="536">
        <f>'2-Productivity Inputs'!D25</f>
        <v>32</v>
      </c>
      <c r="E17" s="536">
        <f>'2-Productivity Inputs'!E25</f>
        <v>22</v>
      </c>
      <c r="I17" s="558"/>
      <c r="J17" s="348"/>
      <c r="L17" s="348"/>
    </row>
    <row r="18" spans="1:15" x14ac:dyDescent="0.2">
      <c r="A18" s="494" t="str">
        <f>A24</f>
        <v>Option 1 - HV + Bus Lane</v>
      </c>
      <c r="B18" s="536">
        <f>'2-Productivity Inputs'!B26</f>
        <v>21</v>
      </c>
      <c r="C18" s="536">
        <f>'2-Productivity Inputs'!C26</f>
        <v>2</v>
      </c>
      <c r="D18" s="536">
        <f>'2-Productivity Inputs'!D26</f>
        <v>25</v>
      </c>
      <c r="E18" s="536">
        <f>'2-Productivity Inputs'!E26</f>
        <v>18</v>
      </c>
      <c r="I18" s="558"/>
      <c r="J18" s="348"/>
      <c r="L18" s="348"/>
    </row>
    <row r="19" spans="1:15" x14ac:dyDescent="0.2">
      <c r="A19" s="578" t="str">
        <f>A25</f>
        <v>Option 2 - N/A</v>
      </c>
      <c r="B19" s="536">
        <f>'2-Productivity Inputs'!B27</f>
        <v>8</v>
      </c>
      <c r="C19" s="536">
        <f>'2-Productivity Inputs'!C27</f>
        <v>2</v>
      </c>
      <c r="D19" s="536">
        <f>'2-Productivity Inputs'!D27</f>
        <v>8</v>
      </c>
      <c r="E19" s="536">
        <f>'2-Productivity Inputs'!E27</f>
        <v>8</v>
      </c>
      <c r="I19" s="558"/>
      <c r="J19" s="348"/>
      <c r="K19" s="348"/>
      <c r="L19" s="348"/>
    </row>
    <row r="20" spans="1:15" x14ac:dyDescent="0.2">
      <c r="A20" s="551"/>
      <c r="I20" s="558"/>
      <c r="J20" s="348"/>
      <c r="L20" s="348"/>
    </row>
    <row r="21" spans="1:15" ht="16" x14ac:dyDescent="0.2">
      <c r="A21" s="577" t="s">
        <v>333</v>
      </c>
      <c r="B21" s="520"/>
      <c r="C21" s="520"/>
      <c r="D21" s="520"/>
      <c r="E21" s="520"/>
      <c r="I21" s="558"/>
      <c r="J21" s="348"/>
      <c r="L21" s="348"/>
    </row>
    <row r="22" spans="1:15" ht="26" x14ac:dyDescent="0.3">
      <c r="A22" s="515" t="s">
        <v>217</v>
      </c>
      <c r="B22" s="562" t="s">
        <v>353</v>
      </c>
      <c r="C22" s="393" t="s">
        <v>0</v>
      </c>
      <c r="D22" s="393" t="s">
        <v>5</v>
      </c>
      <c r="E22" s="393" t="s">
        <v>354</v>
      </c>
      <c r="I22" s="558"/>
      <c r="J22" s="348"/>
      <c r="L22" s="579"/>
      <c r="M22" s="580"/>
      <c r="N22" s="580"/>
      <c r="O22" s="580"/>
    </row>
    <row r="23" spans="1:15" x14ac:dyDescent="0.2">
      <c r="A23" s="494" t="str">
        <f>'2-Productivity Inputs'!A25</f>
        <v>Base case - T3 Lane</v>
      </c>
      <c r="B23" s="399" t="str">
        <f>'Productivity calcs'!I23</f>
        <v>E</v>
      </c>
      <c r="C23" s="581" t="str">
        <f>'Productivity calcs'!I27</f>
        <v>D</v>
      </c>
      <c r="D23" s="399" t="str">
        <f>'Productivity calcs'!I24</f>
        <v>C</v>
      </c>
      <c r="E23" s="399" t="str">
        <f>'Productivity calcs'!I25</f>
        <v>D</v>
      </c>
      <c r="I23" s="558"/>
      <c r="J23" s="348"/>
      <c r="K23" s="353" t="s">
        <v>365</v>
      </c>
      <c r="L23" s="348"/>
    </row>
    <row r="24" spans="1:15" x14ac:dyDescent="0.2">
      <c r="A24" s="578" t="str">
        <f>'2-Productivity Inputs'!A26</f>
        <v>Option 1 - HV + Bus Lane</v>
      </c>
      <c r="B24" s="582" t="str">
        <f>'Productivity calcs'!I32</f>
        <v>D</v>
      </c>
      <c r="C24" s="399" t="str">
        <f>'Productivity calcs'!I36</f>
        <v>F</v>
      </c>
      <c r="D24" s="399" t="str">
        <f>'Productivity calcs'!I33</f>
        <v>C</v>
      </c>
      <c r="E24" s="399" t="str">
        <f>'Productivity calcs'!I34</f>
        <v>E</v>
      </c>
      <c r="I24" s="558"/>
      <c r="J24" s="348"/>
      <c r="L24" s="348"/>
    </row>
    <row r="25" spans="1:15" x14ac:dyDescent="0.2">
      <c r="A25" s="578" t="str">
        <f>'2-Productivity Inputs'!A27</f>
        <v>Option 2 - N/A</v>
      </c>
      <c r="B25" s="401" t="str">
        <f>'Productivity calcs'!I41</f>
        <v>F</v>
      </c>
      <c r="C25" s="401" t="str">
        <f>'Productivity calcs'!I45</f>
        <v>F</v>
      </c>
      <c r="D25" s="401" t="str">
        <f>'Productivity calcs'!I42</f>
        <v>F</v>
      </c>
      <c r="E25" s="401" t="str">
        <f>'Productivity calcs'!I43</f>
        <v>F</v>
      </c>
      <c r="I25" s="558"/>
      <c r="J25" s="348"/>
      <c r="L25" s="348"/>
    </row>
    <row r="26" spans="1:15" x14ac:dyDescent="0.2">
      <c r="A26" s="551"/>
      <c r="B26" s="401"/>
      <c r="C26" s="401"/>
      <c r="D26" s="401"/>
      <c r="E26" s="401"/>
      <c r="I26" s="558"/>
      <c r="J26" s="348"/>
      <c r="L26" s="348"/>
    </row>
    <row r="27" spans="1:15" ht="16" x14ac:dyDescent="0.2">
      <c r="A27" s="577" t="s">
        <v>335</v>
      </c>
      <c r="B27" s="520"/>
      <c r="C27" s="520"/>
      <c r="D27" s="520"/>
      <c r="E27" s="521"/>
      <c r="I27" s="558"/>
      <c r="J27" s="348"/>
      <c r="L27" s="348"/>
    </row>
    <row r="28" spans="1:15" ht="32" x14ac:dyDescent="0.2">
      <c r="A28" s="504" t="s">
        <v>217</v>
      </c>
      <c r="B28" s="393" t="str">
        <f>B16</f>
        <v>Buses</v>
      </c>
      <c r="C28" s="583" t="s">
        <v>337</v>
      </c>
      <c r="D28" s="393" t="s">
        <v>336</v>
      </c>
      <c r="E28" s="393" t="s">
        <v>338</v>
      </c>
      <c r="I28" s="558"/>
      <c r="J28" s="348"/>
      <c r="K28" s="348"/>
      <c r="L28" s="348"/>
    </row>
    <row r="29" spans="1:15" ht="16" x14ac:dyDescent="0.2">
      <c r="A29" s="570" t="str">
        <f>A17</f>
        <v>Base case - T3 Lane</v>
      </c>
      <c r="B29" s="536">
        <f>'Productivity calcs'!G23</f>
        <v>0</v>
      </c>
      <c r="C29" s="584"/>
      <c r="D29" s="536">
        <f>'Productivity calcs'!L28/'Productivity calcs'!D28</f>
        <v>0</v>
      </c>
      <c r="E29" s="585"/>
      <c r="I29" s="558"/>
      <c r="J29" s="348"/>
      <c r="K29" s="348"/>
      <c r="L29" s="348"/>
    </row>
    <row r="30" spans="1:15" ht="16" x14ac:dyDescent="0.2">
      <c r="A30" s="586" t="str">
        <f>A18</f>
        <v>Option 1 - HV + Bus Lane</v>
      </c>
      <c r="B30" s="536">
        <f>'Productivity calcs'!G32</f>
        <v>0</v>
      </c>
      <c r="C30" s="587" t="str">
        <f>IF(ISERROR((B30-B29)/B29),"Need length",(B30-B29)/B29)</f>
        <v>Need length</v>
      </c>
      <c r="D30" s="536">
        <f>'Productivity calcs'!L37/'Productivity calcs'!D37</f>
        <v>0</v>
      </c>
      <c r="E30" s="588" t="str">
        <f>IF(ISERROR((D30-D29)/D29),"Need length",(D30-D29)/D29)</f>
        <v>Need length</v>
      </c>
      <c r="I30" s="558"/>
      <c r="J30" s="348"/>
      <c r="K30" s="348"/>
      <c r="L30" s="348"/>
    </row>
    <row r="31" spans="1:15" ht="16" x14ac:dyDescent="0.2">
      <c r="A31" s="589" t="str">
        <f>A19</f>
        <v>Option 2 - N/A</v>
      </c>
      <c r="B31" s="536">
        <f>'Productivity calcs'!G41</f>
        <v>0</v>
      </c>
      <c r="C31" s="587" t="str">
        <f>IF(ISERROR((B31-B29)/B29),"Need length",(B31-B29)/B29)</f>
        <v>Need length</v>
      </c>
      <c r="D31" s="536">
        <f>'Productivity calcs'!L46/'Productivity calcs'!D46</f>
        <v>0</v>
      </c>
      <c r="E31" s="588" t="e">
        <f>(D31-D29)/D29</f>
        <v>#DIV/0!</v>
      </c>
      <c r="I31" s="558"/>
      <c r="J31" s="348"/>
      <c r="K31" s="348"/>
      <c r="L31" s="348"/>
    </row>
    <row r="32" spans="1:15" x14ac:dyDescent="0.2">
      <c r="A32" s="590"/>
      <c r="B32" s="591"/>
      <c r="C32" s="591"/>
      <c r="I32" s="558"/>
      <c r="J32" s="348"/>
      <c r="K32" s="348"/>
      <c r="L32" s="348"/>
    </row>
    <row r="33" spans="1:18" ht="18.75" customHeight="1" x14ac:dyDescent="0.2">
      <c r="A33" s="522" t="s">
        <v>230</v>
      </c>
      <c r="B33" s="592"/>
      <c r="C33" s="592"/>
      <c r="D33" s="592"/>
      <c r="E33" s="523"/>
      <c r="G33" s="593"/>
      <c r="H33" s="593"/>
      <c r="I33" s="594"/>
      <c r="J33" s="348"/>
      <c r="K33" s="348"/>
      <c r="L33" s="348"/>
      <c r="R33" s="580"/>
    </row>
    <row r="34" spans="1:18" ht="48" x14ac:dyDescent="0.2">
      <c r="A34" s="515" t="s">
        <v>217</v>
      </c>
      <c r="B34" s="562" t="s">
        <v>271</v>
      </c>
      <c r="C34" s="595" t="s">
        <v>339</v>
      </c>
      <c r="D34" s="595" t="s">
        <v>322</v>
      </c>
      <c r="E34" s="596" t="s">
        <v>344</v>
      </c>
      <c r="H34" s="593"/>
      <c r="I34" s="594"/>
      <c r="J34" s="348"/>
      <c r="K34" s="580"/>
      <c r="L34" s="348"/>
      <c r="R34" s="580"/>
    </row>
    <row r="35" spans="1:18" ht="15" customHeight="1" x14ac:dyDescent="0.2">
      <c r="A35" s="597" t="str">
        <f>A29</f>
        <v>Base case - T3 Lane</v>
      </c>
      <c r="B35" s="598">
        <f>'Productivity calcs'!J28</f>
        <v>27890</v>
      </c>
      <c r="C35" s="584">
        <v>0</v>
      </c>
      <c r="D35" s="598">
        <f>'Productivity calcs'!K28</f>
        <v>24280</v>
      </c>
      <c r="E35" s="348"/>
      <c r="F35" s="599" t="str">
        <f>IF(D38&gt;500,"Vehicle productivity is significantly higher for option/s compared to the base case. This indicates an increase in capacity through a downstream bottleneck. Sense check modelling and assumptions","")</f>
        <v/>
      </c>
      <c r="G35" s="599"/>
      <c r="H35" s="599"/>
      <c r="I35" s="600"/>
      <c r="J35" s="348"/>
      <c r="K35" s="601"/>
      <c r="L35" s="348"/>
    </row>
    <row r="36" spans="1:18" ht="16" x14ac:dyDescent="0.2">
      <c r="A36" s="589" t="str">
        <f>A30</f>
        <v>Option 1 - HV + Bus Lane</v>
      </c>
      <c r="B36" s="598">
        <f>'Productivity calcs'!J37</f>
        <v>6390</v>
      </c>
      <c r="C36" s="602">
        <f>ROUND((B36-B35)/B35,3)</f>
        <v>-0.77100000000000002</v>
      </c>
      <c r="D36" s="598">
        <f>'Productivity calcs'!K37</f>
        <v>2400</v>
      </c>
      <c r="E36" s="602" t="e">
        <f>'Productivity calcs'!N37</f>
        <v>#DIV/0!</v>
      </c>
      <c r="F36" s="599"/>
      <c r="G36" s="599"/>
      <c r="H36" s="599"/>
      <c r="I36" s="600"/>
      <c r="J36" s="348"/>
      <c r="K36" s="603"/>
      <c r="L36" s="348"/>
    </row>
    <row r="37" spans="1:18" ht="15" customHeight="1" x14ac:dyDescent="0.2">
      <c r="A37" s="604" t="str">
        <f>IF('2-Productivity Inputs'!$B$22="No","",A31)</f>
        <v/>
      </c>
      <c r="B37" s="591" t="str">
        <f>IF('2-Productivity Inputs'!$B$22="No","",'Productivity calcs'!J46)</f>
        <v/>
      </c>
      <c r="C37" s="605" t="e">
        <f>(B37-B35)/B35</f>
        <v>#VALUE!</v>
      </c>
      <c r="D37" s="591">
        <f>'Productivity calcs'!K46</f>
        <v>2270</v>
      </c>
      <c r="E37" s="606" t="e">
        <f>'Productivity calcs'!N46</f>
        <v>#DIV/0!</v>
      </c>
      <c r="F37" s="599"/>
      <c r="G37" s="599"/>
      <c r="H37" s="599"/>
      <c r="I37" s="600"/>
      <c r="J37" s="348"/>
      <c r="K37" s="348"/>
      <c r="L37" s="348"/>
    </row>
    <row r="38" spans="1:18" x14ac:dyDescent="0.2">
      <c r="A38" s="607"/>
      <c r="B38" s="572"/>
      <c r="C38" s="572"/>
      <c r="D38" s="608" cm="1">
        <f t="array" ref="D38">IFERROR(MAX(D35:D37)-D35,MAX(D35:D36-D35))</f>
        <v>0</v>
      </c>
      <c r="E38" s="609"/>
      <c r="F38" s="610"/>
      <c r="G38" s="610"/>
      <c r="H38" s="610"/>
      <c r="I38" s="611"/>
      <c r="J38" s="348"/>
      <c r="K38" s="348"/>
      <c r="L38" s="348"/>
    </row>
    <row r="39" spans="1:18" x14ac:dyDescent="0.2">
      <c r="A39" s="590"/>
      <c r="B39" s="591"/>
      <c r="C39" s="591"/>
      <c r="G39" s="593"/>
      <c r="H39" s="593"/>
      <c r="I39" s="594"/>
      <c r="J39" s="348"/>
      <c r="K39" s="348"/>
      <c r="L39" s="348"/>
    </row>
    <row r="40" spans="1:18" ht="24" customHeight="1" x14ac:dyDescent="0.2">
      <c r="A40" s="612" t="s">
        <v>328</v>
      </c>
      <c r="B40" s="613"/>
      <c r="C40" s="613"/>
      <c r="D40" s="613"/>
      <c r="E40" s="613"/>
      <c r="F40" s="613"/>
      <c r="G40" s="613"/>
      <c r="H40" s="613"/>
      <c r="I40" s="614"/>
    </row>
    <row r="41" spans="1:18" ht="19" x14ac:dyDescent="0.2">
      <c r="A41" s="615" t="str">
        <f>A36</f>
        <v>Option 1 - HV + Bus Lane</v>
      </c>
      <c r="B41" s="616"/>
      <c r="C41" s="616"/>
      <c r="D41" s="617"/>
      <c r="E41" s="618" t="str">
        <f>A37</f>
        <v/>
      </c>
      <c r="F41" s="618"/>
      <c r="G41" s="618"/>
      <c r="H41" s="618"/>
      <c r="I41" s="619"/>
    </row>
    <row r="42" spans="1:18" x14ac:dyDescent="0.2">
      <c r="A42" s="551"/>
      <c r="I42" s="558"/>
    </row>
    <row r="43" spans="1:18" x14ac:dyDescent="0.2">
      <c r="A43" s="551"/>
      <c r="I43" s="558"/>
    </row>
    <row r="44" spans="1:18" x14ac:dyDescent="0.2">
      <c r="A44" s="551"/>
      <c r="I44" s="558"/>
    </row>
    <row r="45" spans="1:18" x14ac:dyDescent="0.2">
      <c r="A45" s="551"/>
      <c r="I45" s="558"/>
    </row>
    <row r="46" spans="1:18" x14ac:dyDescent="0.2">
      <c r="A46" s="551"/>
      <c r="I46" s="558"/>
      <c r="J46" s="348"/>
      <c r="K46" s="348"/>
    </row>
    <row r="47" spans="1:18" x14ac:dyDescent="0.2">
      <c r="A47" s="551"/>
      <c r="I47" s="558"/>
    </row>
    <row r="48" spans="1:18" x14ac:dyDescent="0.2">
      <c r="A48" s="551"/>
      <c r="I48" s="558"/>
    </row>
    <row r="49" spans="1:9" x14ac:dyDescent="0.2">
      <c r="A49" s="551"/>
      <c r="I49" s="558"/>
    </row>
    <row r="50" spans="1:9" x14ac:dyDescent="0.2">
      <c r="A50" s="551"/>
      <c r="I50" s="558"/>
    </row>
    <row r="51" spans="1:9" x14ac:dyDescent="0.2">
      <c r="A51" s="551"/>
      <c r="I51" s="558"/>
    </row>
    <row r="52" spans="1:9" x14ac:dyDescent="0.2">
      <c r="A52" s="551"/>
      <c r="I52" s="558"/>
    </row>
    <row r="53" spans="1:9" x14ac:dyDescent="0.2">
      <c r="A53" s="551"/>
      <c r="I53" s="558"/>
    </row>
    <row r="54" spans="1:9" x14ac:dyDescent="0.2">
      <c r="A54" s="551"/>
      <c r="I54" s="558"/>
    </row>
    <row r="55" spans="1:9" x14ac:dyDescent="0.2">
      <c r="A55" s="551"/>
      <c r="I55" s="558"/>
    </row>
    <row r="56" spans="1:9" x14ac:dyDescent="0.2">
      <c r="A56" s="551"/>
      <c r="I56" s="558"/>
    </row>
    <row r="57" spans="1:9" x14ac:dyDescent="0.2">
      <c r="A57" s="551"/>
      <c r="I57" s="558"/>
    </row>
    <row r="58" spans="1:9" x14ac:dyDescent="0.2">
      <c r="A58" s="551"/>
      <c r="I58" s="558"/>
    </row>
    <row r="59" spans="1:9" ht="16" thickBot="1" x14ac:dyDescent="0.25">
      <c r="A59" s="551"/>
      <c r="E59" s="348"/>
      <c r="F59" s="348"/>
      <c r="I59" s="558"/>
    </row>
    <row r="60" spans="1:9" ht="60" customHeight="1" thickBot="1" x14ac:dyDescent="0.25">
      <c r="A60" s="620" t="s">
        <v>54</v>
      </c>
      <c r="B60" s="621" t="str">
        <f>'Opt1_NOP Tool calcs'!I23</f>
        <v>Low likelihood of supporting the Auckland Network Operating Plan (ANOP) and Future Connect</v>
      </c>
      <c r="C60" s="621"/>
      <c r="D60" s="622"/>
      <c r="E60" s="623" t="s">
        <v>54</v>
      </c>
      <c r="F60" s="624"/>
      <c r="G60" s="621" t="str">
        <f>'Opt2_NOP Tool calcs'!I23</f>
        <v>Low likelihood of supporting the Auckland Network Operating Plan (ANOP) and Future Connect</v>
      </c>
      <c r="H60" s="621"/>
      <c r="I60" s="622"/>
    </row>
    <row r="61" spans="1:9" ht="15" customHeight="1" x14ac:dyDescent="0.2">
      <c r="A61" s="348"/>
      <c r="B61" s="348"/>
      <c r="C61" s="348"/>
      <c r="D61" s="348"/>
      <c r="E61" s="348"/>
      <c r="F61" s="348"/>
    </row>
    <row r="62" spans="1:9" ht="15" customHeight="1" x14ac:dyDescent="0.2">
      <c r="A62" s="348"/>
      <c r="B62" s="348"/>
      <c r="C62" s="348"/>
      <c r="D62" s="348"/>
      <c r="E62" s="348"/>
      <c r="F62" s="348"/>
    </row>
    <row r="63" spans="1:9" x14ac:dyDescent="0.2">
      <c r="E63" s="348"/>
      <c r="F63" s="348"/>
    </row>
  </sheetData>
  <sheetProtection algorithmName="SHA-512" hashValue="qB1UZn+2aqz5a0piQCFyVcOqthnSewCSZ4k7NrOc1q6Rn7d7tDHlkzgFwsBJKyRMy411x/BZg42YBzLfS7FdwA==" saltValue="1Sngr/Jo1CPppN4C2VBD6Q==" spinCount="100000" sheet="1" objects="1" scenarios="1"/>
  <mergeCells count="25">
    <mergeCell ref="B60:D60"/>
    <mergeCell ref="B12:F12"/>
    <mergeCell ref="A8:I8"/>
    <mergeCell ref="A14:I14"/>
    <mergeCell ref="A40:I40"/>
    <mergeCell ref="A27:E27"/>
    <mergeCell ref="A10:F10"/>
    <mergeCell ref="B11:F11"/>
    <mergeCell ref="G60:I60"/>
    <mergeCell ref="E60:F60"/>
    <mergeCell ref="I1:I2"/>
    <mergeCell ref="B4:E4"/>
    <mergeCell ref="B3:E3"/>
    <mergeCell ref="A41:D41"/>
    <mergeCell ref="E41:I41"/>
    <mergeCell ref="B5:C5"/>
    <mergeCell ref="B6:C6"/>
    <mergeCell ref="F4:G4"/>
    <mergeCell ref="F3:G3"/>
    <mergeCell ref="H4:I4"/>
    <mergeCell ref="H3:I3"/>
    <mergeCell ref="F35:I38"/>
    <mergeCell ref="A33:E33"/>
    <mergeCell ref="A15:E15"/>
    <mergeCell ref="A21:E21"/>
  </mergeCells>
  <conditionalFormatting sqref="B23:E25">
    <cfRule type="cellIs" dxfId="64" priority="29" operator="equal">
      <formula>"F"</formula>
    </cfRule>
    <cfRule type="cellIs" dxfId="63" priority="30" operator="equal">
      <formula>"E"</formula>
    </cfRule>
    <cfRule type="cellIs" dxfId="62" priority="31" operator="equal">
      <formula>"D"</formula>
    </cfRule>
    <cfRule type="cellIs" dxfId="61" priority="32" operator="equal">
      <formula>"C"</formula>
    </cfRule>
    <cfRule type="cellIs" dxfId="60" priority="44" operator="equal">
      <formula>"B"</formula>
    </cfRule>
    <cfRule type="cellIs" dxfId="59" priority="45" operator="equal">
      <formula>"A"</formula>
    </cfRule>
  </conditionalFormatting>
  <conditionalFormatting sqref="C30:C31 E30:E31">
    <cfRule type="cellIs" dxfId="55" priority="19" operator="equal">
      <formula>""</formula>
    </cfRule>
    <cfRule type="cellIs" dxfId="54" priority="38" operator="greaterThan">
      <formula>0</formula>
    </cfRule>
    <cfRule type="cellIs" dxfId="53" priority="39" operator="lessThan">
      <formula>0</formula>
    </cfRule>
  </conditionalFormatting>
  <conditionalFormatting sqref="C36:C37">
    <cfRule type="cellIs" dxfId="52" priority="41" operator="equal">
      <formula>""</formula>
    </cfRule>
    <cfRule type="cellIs" dxfId="51" priority="42" operator="lessThan">
      <formula>0</formula>
    </cfRule>
    <cfRule type="cellIs" dxfId="50" priority="43" operator="greaterThan">
      <formula>0</formula>
    </cfRule>
  </conditionalFormatting>
  <conditionalFormatting sqref="E36:E37">
    <cfRule type="cellIs" dxfId="46" priority="11" operator="lessThan">
      <formula>0</formula>
    </cfRule>
    <cfRule type="cellIs" dxfId="45" priority="13" operator="greaterThan">
      <formula>0</formula>
    </cfRule>
  </conditionalFormatting>
  <conditionalFormatting sqref="G44">
    <cfRule type="expression" dxfId="43" priority="34">
      <formula>$B44&gt;2</formula>
    </cfRule>
  </conditionalFormatting>
  <printOptions horizontalCentered="1"/>
  <pageMargins left="0.19685039370078741" right="0.19685039370078741" top="0.59055118110236227" bottom="0.19685039370078741" header="0.31496062992125984" footer="0.31496062992125984"/>
  <pageSetup paperSize="9" scale="63" orientation="portrait" r:id="rId1"/>
  <headerFooter>
    <oddHeader>&amp;L&amp;F</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23" id="{DB2B641B-1C28-4EF4-A1DF-5FC3A3E0F5FD}">
            <xm:f>'2-Productivity Inputs'!$B$29=2</xm:f>
            <x14:dxf>
              <border>
                <right style="thin">
                  <color rgb="FFC8C8C8"/>
                </right>
                <vertical/>
                <horizontal/>
              </border>
            </x14:dxf>
          </x14:cfRule>
          <xm:sqref>A15 A21</xm:sqref>
        </x14:conditionalFormatting>
        <x14:conditionalFormatting xmlns:xm="http://schemas.microsoft.com/office/excel/2006/main">
          <x14:cfRule type="expression" priority="6" stopIfTrue="1" id="{C2590848-C214-449D-B3A7-FA83ED4FDF00}">
            <xm:f>'2-Productivity Inputs'!$B$22="No"</xm:f>
            <x14:dxf>
              <font>
                <color theme="0"/>
              </font>
              <fill>
                <patternFill>
                  <fgColor theme="0"/>
                  <bgColor theme="0"/>
                </patternFill>
              </fill>
              <border>
                <left/>
                <right/>
                <top style="thin">
                  <color rgb="FFC8C8C8"/>
                </top>
                <bottom/>
                <vertical/>
                <horizontal/>
              </border>
            </x14:dxf>
          </x14:cfRule>
          <xm:sqref>A31:E31 A19:E19 A25:E25 A37:E37</xm:sqref>
        </x14:conditionalFormatting>
        <x14:conditionalFormatting xmlns:xm="http://schemas.microsoft.com/office/excel/2006/main">
          <x14:cfRule type="expression" priority="35" id="{D2A5F3DF-0E00-4BEF-9879-572F1E126C27}">
            <xm:f>'Opt1_NOP Tool calcs'!$AC$45="H"</xm:f>
            <x14:dxf>
              <fill>
                <patternFill>
                  <bgColor rgb="FF92D050"/>
                </patternFill>
              </fill>
            </x14:dxf>
          </x14:cfRule>
          <x14:cfRule type="expression" priority="36" id="{05314772-62FC-4132-AE73-2AA55B9F2FBC}">
            <xm:f>'Opt1_NOP Tool calcs'!$AC$45="M"</xm:f>
            <x14:dxf>
              <fill>
                <patternFill>
                  <bgColor rgb="FFFFC000"/>
                </patternFill>
              </fill>
            </x14:dxf>
          </x14:cfRule>
          <x14:cfRule type="expression" priority="37" id="{DD85648C-BF0C-4516-A066-655A50BA7BCE}">
            <xm:f>'Opt1_NOP Tool calcs'!$AC$45="L"</xm:f>
            <x14:dxf>
              <fill>
                <patternFill>
                  <bgColor rgb="FFFF3300"/>
                </patternFill>
              </fill>
            </x14:dxf>
          </x14:cfRule>
          <xm:sqref>B60</xm:sqref>
        </x14:conditionalFormatting>
        <x14:conditionalFormatting xmlns:xm="http://schemas.microsoft.com/office/excel/2006/main">
          <x14:cfRule type="expression" priority="21" stopIfTrue="1" id="{00000000-000E-0000-0200-00002B000000}">
            <xm:f>'2-Productivity Inputs'!$B$22="No"</xm:f>
            <x14:dxf>
              <font>
                <color theme="0"/>
              </font>
              <fill>
                <patternFill patternType="solid">
                  <fgColor theme="0"/>
                  <bgColor theme="0"/>
                </patternFill>
              </fill>
              <border>
                <left/>
                <right/>
                <top style="thin">
                  <color rgb="FFC8C8C8"/>
                </top>
                <bottom/>
                <vertical/>
                <horizontal/>
              </border>
            </x14:dxf>
          </x14:cfRule>
          <xm:sqref>B25:E25</xm:sqref>
        </x14:conditionalFormatting>
        <x14:conditionalFormatting xmlns:xm="http://schemas.microsoft.com/office/excel/2006/main">
          <x14:cfRule type="expression" priority="1" stopIfTrue="1" id="{0F34591C-CA83-422B-BBB7-7DA34029E676}">
            <xm:f>'2-Productivity Inputs'!$B$22="No"</xm:f>
            <x14:dxf>
              <font>
                <color theme="0"/>
              </font>
              <fill>
                <patternFill>
                  <fgColor theme="0"/>
                  <bgColor theme="0"/>
                </patternFill>
              </fill>
              <border>
                <left/>
                <right/>
                <bottom/>
                <vertical/>
                <horizontal/>
              </border>
            </x14:dxf>
          </x14:cfRule>
          <xm:sqref>B31:E31</xm:sqref>
        </x14:conditionalFormatting>
        <x14:conditionalFormatting xmlns:xm="http://schemas.microsoft.com/office/excel/2006/main">
          <x14:cfRule type="expression" priority="136" id="{2E04CF2D-323B-4A8B-A9DC-37910CCC526E}">
            <xm:f>'2-Productivity Inputs'!$C$19&gt;1</xm:f>
            <x14:dxf>
              <font>
                <color rgb="FF112A2F"/>
              </font>
              <fill>
                <patternFill patternType="solid">
                  <bgColor theme="8" tint="0.79998168889431442"/>
                </patternFill>
              </fill>
              <border>
                <left style="thin">
                  <color rgb="FFC8C8C8"/>
                </left>
                <right style="thin">
                  <color rgb="FFC8C8C8"/>
                </right>
                <top style="thin">
                  <color rgb="FFC8C8C8"/>
                </top>
                <bottom style="thin">
                  <color rgb="FFC8C8C8"/>
                </bottom>
                <vertical/>
                <horizontal/>
              </border>
            </x14:dxf>
          </x14:cfRule>
          <xm:sqref>C23</xm:sqref>
        </x14:conditionalFormatting>
        <x14:conditionalFormatting xmlns:xm="http://schemas.microsoft.com/office/excel/2006/main">
          <x14:cfRule type="expression" priority="139" stopIfTrue="1" id="{133B1C56-3CD8-488E-90C3-05DD1DFF2FF7}">
            <xm:f>'2-Productivity Inputs'!$C$20&gt;2</xm:f>
            <x14:dxf>
              <font>
                <color rgb="FF112A2F"/>
              </font>
              <fill>
                <patternFill patternType="solid">
                  <bgColor theme="8" tint="0.79998168889431442"/>
                </patternFill>
              </fill>
              <border>
                <left style="thin">
                  <color rgb="FFC8C8C8"/>
                </left>
                <right style="thin">
                  <color rgb="FFC8C8C8"/>
                </right>
                <top style="thin">
                  <color rgb="FFC8C8C8"/>
                </top>
                <bottom style="thin">
                  <color rgb="FFC8C8C8"/>
                </bottom>
                <vertical/>
                <horizontal/>
              </border>
            </x14:dxf>
          </x14:cfRule>
          <xm:sqref>D24</xm:sqref>
        </x14:conditionalFormatting>
        <x14:conditionalFormatting xmlns:xm="http://schemas.microsoft.com/office/excel/2006/main">
          <x14:cfRule type="expression" priority="142" stopIfTrue="1" id="{D6BE961D-EF06-4909-A8B6-33BB0F46C660}">
            <xm:f>'2-Productivity Inputs'!$C$20&gt;3</xm:f>
            <x14:dxf>
              <font>
                <color rgb="FF112A2F"/>
              </font>
              <fill>
                <patternFill patternType="solid">
                  <bgColor theme="8" tint="0.79998168889431442"/>
                </patternFill>
              </fill>
              <border>
                <left style="thin">
                  <color rgb="FFC8C8C8"/>
                </left>
                <right style="thin">
                  <color rgb="FFC8C8C8"/>
                </right>
                <top style="thin">
                  <color rgb="FFC8C8C8"/>
                </top>
                <bottom style="thin">
                  <color rgb="FFC8C8C8"/>
                </bottom>
                <vertical/>
                <horizontal/>
              </border>
            </x14:dxf>
          </x14:cfRule>
          <xm:sqref>E24</xm:sqref>
        </x14:conditionalFormatting>
        <x14:conditionalFormatting xmlns:xm="http://schemas.microsoft.com/office/excel/2006/main">
          <x14:cfRule type="expression" priority="8" id="{AAC4221C-4713-4F67-9A37-263830AFB7FF}">
            <xm:f>'1-FC and Land Use Inputs'!$I$21=1</xm:f>
            <x14:dxf>
              <font>
                <color rgb="FFC8C8C8"/>
              </font>
              <fill>
                <patternFill>
                  <bgColor rgb="FF183D44"/>
                </patternFill>
              </fill>
              <border>
                <right style="thin">
                  <color rgb="FFC8C8C8"/>
                </right>
                <top style="thin">
                  <color rgb="FFC8C8C8"/>
                </top>
                <bottom style="thin">
                  <color rgb="FFC8C8C8"/>
                </bottom>
              </border>
            </x14:dxf>
          </x14:cfRule>
          <xm:sqref>E34</xm:sqref>
        </x14:conditionalFormatting>
        <x14:conditionalFormatting xmlns:xm="http://schemas.microsoft.com/office/excel/2006/main">
          <x14:cfRule type="expression" priority="3" stopIfTrue="1" id="{264F1C39-CE06-4538-96E0-A3DFDC5F69FA}">
            <xm:f>'2-Productivity Inputs'!$B$22="No"</xm:f>
            <x14:dxf>
              <font>
                <color theme="0"/>
              </font>
              <fill>
                <patternFill patternType="solid">
                  <bgColor theme="0"/>
                </patternFill>
              </fill>
              <border>
                <left/>
                <right/>
                <top/>
                <bottom/>
                <vertical/>
                <horizontal/>
              </border>
            </x14:dxf>
          </x14:cfRule>
          <xm:sqref>E41:I60</xm:sqref>
        </x14:conditionalFormatting>
        <x14:conditionalFormatting xmlns:xm="http://schemas.microsoft.com/office/excel/2006/main">
          <x14:cfRule type="expression" priority="4" id="{23C49008-C6F3-4726-ADE4-B403DD5BAD83}">
            <xm:f>'Opt2_NOP Tool calcs'!$AC$45="H"</xm:f>
            <x14:dxf>
              <fill>
                <patternFill>
                  <bgColor rgb="FF92D050"/>
                </patternFill>
              </fill>
            </x14:dxf>
          </x14:cfRule>
          <x14:cfRule type="expression" priority="5" id="{33B471F4-4953-4306-A3E1-B4CAE3C30A5C}">
            <xm:f>'Opt2_NOP Tool calcs'!$AC$45="M"</xm:f>
            <x14:dxf>
              <fill>
                <patternFill>
                  <bgColor rgb="FFFFC000"/>
                </patternFill>
              </fill>
            </x14:dxf>
          </x14:cfRule>
          <x14:cfRule type="expression" priority="12" id="{B1517D87-2385-4A6F-B1E2-83ACB9663962}">
            <xm:f>'Opt2_NOP Tool calcs'!$AC$45="L"</xm:f>
            <x14:dxf>
              <fill>
                <patternFill>
                  <bgColor rgb="FFFF3300"/>
                </patternFill>
              </fill>
            </x14:dxf>
          </x14:cfRule>
          <xm:sqref>G60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F3EB4-7EF4-4E39-BBFC-C5E46573635D}">
  <dimension ref="A1:AE50"/>
  <sheetViews>
    <sheetView showGridLines="0" showRowColHeaders="0" zoomScaleNormal="100" workbookViewId="0">
      <selection activeCell="C15" sqref="C15"/>
    </sheetView>
  </sheetViews>
  <sheetFormatPr baseColWidth="10" defaultColWidth="10.33203125" defaultRowHeight="15" x14ac:dyDescent="0.2"/>
  <cols>
    <col min="1" max="1" width="10.33203125" style="634"/>
    <col min="2" max="2" width="28.6640625" style="634" customWidth="1"/>
    <col min="3" max="3" width="16.5" style="634" customWidth="1"/>
    <col min="4" max="8" width="10.33203125" style="634" customWidth="1"/>
    <col min="9" max="9" width="12" style="634" customWidth="1"/>
    <col min="10" max="11" width="12.6640625" style="634" customWidth="1"/>
    <col min="12" max="15" width="14" style="634" customWidth="1"/>
    <col min="16" max="17" width="19" style="628" customWidth="1"/>
    <col min="18" max="18" width="27.1640625" style="628" customWidth="1"/>
    <col min="19" max="19" width="16.5" style="628" customWidth="1"/>
    <col min="20" max="26" width="12.6640625" style="628" customWidth="1"/>
    <col min="27" max="28" width="13.6640625" style="628" customWidth="1"/>
    <col min="29" max="31" width="13.1640625" style="628" customWidth="1"/>
    <col min="32" max="16384" width="10.33203125" style="634"/>
  </cols>
  <sheetData>
    <row r="1" spans="1:16" s="628" customFormat="1" x14ac:dyDescent="0.2">
      <c r="A1" s="625"/>
      <c r="B1" s="626" t="s">
        <v>225</v>
      </c>
      <c r="C1" s="627">
        <f>'1-FC and Land Use Inputs'!C9</f>
        <v>0</v>
      </c>
      <c r="D1" s="627"/>
      <c r="E1" s="627"/>
      <c r="F1" s="627"/>
      <c r="G1" s="626"/>
      <c r="H1" s="626"/>
      <c r="I1" s="626"/>
      <c r="J1" s="626"/>
      <c r="K1" s="626"/>
      <c r="L1" s="626"/>
      <c r="M1" s="626"/>
      <c r="N1" s="626"/>
      <c r="O1" s="626"/>
      <c r="P1" s="626"/>
    </row>
    <row r="2" spans="1:16" s="628" customFormat="1" x14ac:dyDescent="0.2">
      <c r="A2" s="625"/>
      <c r="B2" s="626" t="s">
        <v>247</v>
      </c>
      <c r="C2" s="629">
        <f>'1-FC and Land Use Inputs'!C13</f>
        <v>0</v>
      </c>
      <c r="D2" s="625"/>
      <c r="E2" s="625"/>
      <c r="F2" s="625"/>
      <c r="G2" s="626"/>
      <c r="H2" s="626"/>
      <c r="I2" s="626"/>
      <c r="J2" s="626"/>
      <c r="K2" s="626"/>
      <c r="L2" s="626"/>
      <c r="M2" s="626"/>
      <c r="N2" s="626"/>
      <c r="O2" s="626"/>
      <c r="P2" s="626"/>
    </row>
    <row r="3" spans="1:16" s="628" customFormat="1" ht="14" customHeight="1" x14ac:dyDescent="0.2">
      <c r="A3" s="625"/>
      <c r="B3" s="626" t="s">
        <v>246</v>
      </c>
      <c r="C3" s="630">
        <f>'1-FC and Land Use Inputs'!C15</f>
        <v>0</v>
      </c>
      <c r="D3" s="625"/>
      <c r="E3" s="626"/>
      <c r="F3" s="626"/>
      <c r="G3" s="626"/>
      <c r="H3" s="626"/>
      <c r="I3" s="626"/>
      <c r="J3" s="626"/>
      <c r="K3" s="626"/>
      <c r="L3" s="626"/>
      <c r="M3" s="626"/>
      <c r="N3" s="626"/>
      <c r="O3" s="626"/>
      <c r="P3" s="626"/>
    </row>
    <row r="4" spans="1:16" s="628" customFormat="1" ht="14" customHeight="1" x14ac:dyDescent="0.2">
      <c r="A4" s="625"/>
      <c r="B4" s="628" t="s">
        <v>364</v>
      </c>
      <c r="C4" s="630">
        <f>$C$3/'1-FC and Land Use Inputs'!$C$16*60</f>
        <v>0</v>
      </c>
      <c r="D4" s="625"/>
      <c r="E4" s="626"/>
      <c r="F4" s="626"/>
      <c r="G4" s="626"/>
      <c r="H4" s="626"/>
      <c r="I4" s="626"/>
      <c r="J4" s="626"/>
      <c r="K4" s="626"/>
      <c r="L4" s="626"/>
      <c r="M4" s="626"/>
      <c r="N4" s="626"/>
      <c r="O4" s="626"/>
      <c r="P4" s="626"/>
    </row>
    <row r="5" spans="1:16" s="628" customFormat="1" ht="14" customHeight="1" x14ac:dyDescent="0.2">
      <c r="A5" s="625"/>
      <c r="B5" s="626" t="s">
        <v>245</v>
      </c>
      <c r="C5" s="630">
        <f>'1-FC and Land Use Inputs'!C14</f>
        <v>0</v>
      </c>
      <c r="D5" s="625"/>
      <c r="E5" s="626"/>
      <c r="F5" s="626"/>
      <c r="G5" s="626"/>
      <c r="H5" s="626"/>
      <c r="I5" s="626"/>
      <c r="J5" s="626"/>
      <c r="K5" s="626"/>
      <c r="L5" s="626"/>
      <c r="M5" s="626"/>
      <c r="N5" s="626"/>
      <c r="O5" s="626"/>
      <c r="P5" s="626"/>
    </row>
    <row r="6" spans="1:16" s="628" customFormat="1" ht="16" x14ac:dyDescent="0.2">
      <c r="A6" s="625"/>
      <c r="B6" s="631" t="s">
        <v>244</v>
      </c>
      <c r="C6" s="630">
        <f>'2-Productivity Inputs'!D10</f>
        <v>20</v>
      </c>
      <c r="D6" s="625"/>
      <c r="E6" s="626"/>
      <c r="F6" s="626"/>
      <c r="G6" s="626"/>
      <c r="H6" s="626"/>
      <c r="I6" s="626"/>
      <c r="J6" s="626"/>
      <c r="K6" s="626"/>
      <c r="L6" s="626"/>
      <c r="M6" s="626"/>
      <c r="N6" s="626"/>
      <c r="O6" s="626"/>
      <c r="P6" s="626"/>
    </row>
    <row r="7" spans="1:16" s="628" customFormat="1" x14ac:dyDescent="0.2">
      <c r="A7" s="625"/>
      <c r="B7" s="626" t="s">
        <v>243</v>
      </c>
      <c r="C7" s="632">
        <f>'2-Productivity Inputs'!D11</f>
        <v>1</v>
      </c>
      <c r="D7" s="625"/>
      <c r="E7" s="626"/>
      <c r="F7" s="626"/>
      <c r="G7" s="626"/>
      <c r="H7" s="626"/>
      <c r="I7" s="626"/>
      <c r="J7" s="626"/>
      <c r="K7" s="626"/>
      <c r="L7" s="626"/>
      <c r="M7" s="626"/>
      <c r="N7" s="626"/>
      <c r="O7" s="626"/>
      <c r="P7" s="626"/>
    </row>
    <row r="8" spans="1:16" s="628" customFormat="1" x14ac:dyDescent="0.2">
      <c r="A8" s="625"/>
      <c r="B8" s="625"/>
      <c r="C8" s="625"/>
      <c r="D8" s="625"/>
      <c r="E8" s="626"/>
      <c r="F8" s="626"/>
      <c r="G8" s="626"/>
      <c r="H8" s="626"/>
      <c r="I8" s="626"/>
      <c r="J8" s="626"/>
      <c r="K8" s="626"/>
      <c r="L8" s="626"/>
      <c r="M8" s="626"/>
      <c r="N8" s="626"/>
      <c r="O8" s="626"/>
      <c r="P8" s="626"/>
    </row>
    <row r="9" spans="1:16" s="628" customFormat="1" ht="29" customHeight="1" x14ac:dyDescent="0.2">
      <c r="A9" s="625"/>
      <c r="B9" s="633" t="s">
        <v>320</v>
      </c>
      <c r="C9" s="139">
        <f>900*35*1.2</f>
        <v>37800</v>
      </c>
      <c r="D9" s="625"/>
      <c r="E9" s="626"/>
      <c r="F9" s="634"/>
      <c r="G9" s="626"/>
      <c r="H9" s="635"/>
      <c r="I9" s="635"/>
      <c r="J9" s="635"/>
      <c r="K9" s="635"/>
      <c r="L9" s="635"/>
      <c r="M9" s="635"/>
      <c r="N9" s="626"/>
      <c r="O9" s="626"/>
      <c r="P9" s="626"/>
    </row>
    <row r="10" spans="1:16" s="628" customFormat="1" ht="17" thickBot="1" x14ac:dyDescent="0.25">
      <c r="A10" s="625"/>
      <c r="B10" s="140"/>
      <c r="C10" s="625"/>
      <c r="D10" s="625"/>
      <c r="E10" s="625"/>
      <c r="F10" s="625"/>
      <c r="G10" s="625"/>
      <c r="H10" s="635"/>
      <c r="I10" s="635"/>
      <c r="J10" s="635"/>
      <c r="K10" s="635"/>
      <c r="L10" s="635"/>
      <c r="M10" s="635"/>
      <c r="N10" s="635"/>
      <c r="O10" s="635"/>
      <c r="P10" s="635"/>
    </row>
    <row r="11" spans="1:16" s="628" customFormat="1" x14ac:dyDescent="0.2">
      <c r="A11" s="625"/>
      <c r="B11" s="233" t="s">
        <v>242</v>
      </c>
      <c r="C11" s="234"/>
      <c r="D11" s="234"/>
      <c r="E11" s="234"/>
      <c r="F11" s="235"/>
      <c r="G11" s="626"/>
      <c r="H11" s="635"/>
      <c r="I11" s="635"/>
      <c r="J11" s="635"/>
      <c r="K11" s="635"/>
      <c r="L11" s="635"/>
      <c r="M11" s="635"/>
      <c r="N11" s="635"/>
      <c r="O11" s="635"/>
      <c r="P11" s="635"/>
    </row>
    <row r="12" spans="1:16" s="628" customFormat="1" ht="30" x14ac:dyDescent="0.2">
      <c r="A12" s="625"/>
      <c r="B12" s="141" t="s">
        <v>11</v>
      </c>
      <c r="C12" s="142" t="s">
        <v>233</v>
      </c>
      <c r="D12" s="142" t="s">
        <v>235</v>
      </c>
      <c r="E12" s="142" t="s">
        <v>234</v>
      </c>
      <c r="F12" s="143" t="s">
        <v>241</v>
      </c>
      <c r="G12" s="626"/>
      <c r="H12" s="635"/>
      <c r="I12" s="635"/>
      <c r="J12" s="635"/>
      <c r="K12" s="635"/>
      <c r="L12" s="635"/>
      <c r="M12" s="635"/>
      <c r="N12" s="626"/>
      <c r="O12" s="626"/>
      <c r="P12" s="626"/>
    </row>
    <row r="13" spans="1:16" s="628" customFormat="1" x14ac:dyDescent="0.2">
      <c r="A13" s="625"/>
      <c r="B13" s="141" t="s">
        <v>224</v>
      </c>
      <c r="C13" s="144">
        <f>'2-Productivity Inputs'!B10</f>
        <v>9.0497737556561094E-3</v>
      </c>
      <c r="D13" s="145">
        <f>'2-Productivity Inputs'!C10</f>
        <v>10</v>
      </c>
      <c r="E13" s="146">
        <f>D13*C6</f>
        <v>200</v>
      </c>
      <c r="F13" s="147">
        <f>E13/$E$18</f>
        <v>0.15444015444015444</v>
      </c>
      <c r="G13" s="626"/>
      <c r="H13" s="635"/>
      <c r="I13" s="635"/>
      <c r="J13" s="635"/>
      <c r="K13" s="635"/>
      <c r="L13" s="635"/>
      <c r="M13" s="635"/>
      <c r="N13" s="626"/>
      <c r="O13" s="626"/>
      <c r="P13" s="626"/>
    </row>
    <row r="14" spans="1:16" s="628" customFormat="1" x14ac:dyDescent="0.2">
      <c r="A14" s="625"/>
      <c r="B14" s="141" t="s">
        <v>5</v>
      </c>
      <c r="C14" s="204">
        <f>'2-Productivity Inputs'!B11</f>
        <v>0</v>
      </c>
      <c r="D14" s="145">
        <f>'2-Productivity Inputs'!C11</f>
        <v>0</v>
      </c>
      <c r="E14" s="145">
        <f>D14*'2-Productivity Inputs'!$D$11</f>
        <v>0</v>
      </c>
      <c r="F14" s="147">
        <f>E14/$E$18</f>
        <v>0</v>
      </c>
      <c r="G14" s="626"/>
      <c r="H14" s="635"/>
      <c r="I14" s="635"/>
      <c r="J14" s="635"/>
      <c r="K14" s="635"/>
      <c r="L14" s="635"/>
      <c r="M14" s="635"/>
      <c r="N14" s="626"/>
      <c r="O14" s="626"/>
      <c r="P14" s="626"/>
    </row>
    <row r="15" spans="1:16" s="628" customFormat="1" x14ac:dyDescent="0.2">
      <c r="A15" s="625"/>
      <c r="B15" s="141" t="s">
        <v>223</v>
      </c>
      <c r="C15" s="204">
        <f>'2-Productivity Inputs'!B12</f>
        <v>0</v>
      </c>
      <c r="D15" s="145">
        <f>'2-Productivity Inputs'!C12</f>
        <v>0</v>
      </c>
      <c r="E15" s="145">
        <f>D15*'2-Productivity Inputs'!$D$12</f>
        <v>0</v>
      </c>
      <c r="F15" s="147">
        <f>E15/$E$18</f>
        <v>0</v>
      </c>
      <c r="G15" s="626"/>
      <c r="H15" s="635"/>
      <c r="I15" s="635"/>
      <c r="J15" s="635"/>
      <c r="K15" s="635"/>
      <c r="L15" s="635"/>
      <c r="M15" s="635"/>
      <c r="N15" s="626"/>
      <c r="O15" s="626"/>
      <c r="P15" s="626"/>
    </row>
    <row r="16" spans="1:16" s="628" customFormat="1" x14ac:dyDescent="0.2">
      <c r="A16" s="625"/>
      <c r="B16" s="141" t="s">
        <v>222</v>
      </c>
      <c r="C16" s="204">
        <f>'2-Productivity Inputs'!B13</f>
        <v>0</v>
      </c>
      <c r="D16" s="145">
        <f>'2-Productivity Inputs'!C13</f>
        <v>0</v>
      </c>
      <c r="E16" s="145">
        <f>D16*'2-Productivity Inputs'!$D$13</f>
        <v>0</v>
      </c>
      <c r="F16" s="147">
        <f>E16/$E$18</f>
        <v>0</v>
      </c>
      <c r="G16" s="626"/>
      <c r="H16" s="635"/>
      <c r="I16" s="635"/>
      <c r="J16" s="635"/>
      <c r="K16" s="635"/>
      <c r="L16" s="635"/>
      <c r="M16" s="635"/>
      <c r="N16" s="626"/>
      <c r="O16" s="626"/>
      <c r="P16" s="626"/>
    </row>
    <row r="17" spans="1:21" s="628" customFormat="1" ht="16" thickBot="1" x14ac:dyDescent="0.25">
      <c r="A17" s="625"/>
      <c r="B17" s="148" t="s">
        <v>221</v>
      </c>
      <c r="C17" s="149">
        <f>'2-Productivity Inputs'!B14</f>
        <v>0.99095022624434392</v>
      </c>
      <c r="D17" s="150">
        <f>'2-Productivity Inputs'!C14</f>
        <v>1095</v>
      </c>
      <c r="E17" s="150">
        <f>D17*'2-Productivity Inputs'!$D$14</f>
        <v>1095</v>
      </c>
      <c r="F17" s="151">
        <f>E17/$E$18</f>
        <v>0.84555984555984554</v>
      </c>
      <c r="G17" s="626"/>
      <c r="H17" s="635"/>
      <c r="I17" s="635"/>
      <c r="J17" s="635"/>
      <c r="K17" s="635"/>
      <c r="L17" s="635"/>
      <c r="M17" s="635"/>
      <c r="N17" s="626"/>
      <c r="O17" s="626"/>
      <c r="P17" s="626"/>
    </row>
    <row r="18" spans="1:21" s="628" customFormat="1" ht="17" thickTop="1" thickBot="1" x14ac:dyDescent="0.25">
      <c r="A18" s="625"/>
      <c r="B18" s="152" t="s">
        <v>220</v>
      </c>
      <c r="C18" s="153">
        <f>'2-Productivity Inputs'!B15</f>
        <v>1</v>
      </c>
      <c r="D18" s="154">
        <f>'2-Productivity Inputs'!C15</f>
        <v>1105</v>
      </c>
      <c r="E18" s="154">
        <f>SUM(E13:E17)</f>
        <v>1295</v>
      </c>
      <c r="F18" s="205">
        <f>SUM(F13:F17)</f>
        <v>1</v>
      </c>
      <c r="G18" s="626"/>
      <c r="H18" s="635"/>
      <c r="I18" s="635"/>
      <c r="J18" s="635"/>
      <c r="K18" s="635"/>
      <c r="L18" s="635"/>
      <c r="M18" s="635"/>
      <c r="N18" s="626"/>
      <c r="O18" s="626"/>
      <c r="P18" s="626"/>
    </row>
    <row r="19" spans="1:21" s="628" customFormat="1" x14ac:dyDescent="0.2">
      <c r="A19" s="625"/>
      <c r="B19" s="155"/>
      <c r="C19" s="156"/>
      <c r="D19" s="157"/>
      <c r="E19" s="625"/>
      <c r="F19" s="625"/>
      <c r="G19" s="625"/>
      <c r="H19" s="635"/>
      <c r="I19" s="635"/>
      <c r="J19" s="635"/>
      <c r="K19" s="635"/>
      <c r="L19" s="635"/>
      <c r="M19" s="635"/>
      <c r="N19" s="626"/>
      <c r="O19" s="626"/>
      <c r="P19" s="626"/>
    </row>
    <row r="20" spans="1:21" s="628" customFormat="1" ht="16" thickBot="1" x14ac:dyDescent="0.25">
      <c r="A20" s="625"/>
      <c r="B20" s="155"/>
      <c r="C20" s="156"/>
      <c r="D20" s="157"/>
      <c r="E20" s="625"/>
      <c r="F20" s="625"/>
      <c r="G20" s="625"/>
      <c r="H20" s="625"/>
      <c r="I20" s="625"/>
      <c r="J20" s="636"/>
      <c r="K20" s="636"/>
      <c r="L20" s="626"/>
      <c r="M20" s="626"/>
      <c r="N20" s="158"/>
      <c r="O20" s="158"/>
      <c r="P20" s="626"/>
    </row>
    <row r="21" spans="1:21" s="628" customFormat="1" x14ac:dyDescent="0.2">
      <c r="A21" s="159" t="str">
        <f>'2-Productivity Inputs'!A19</f>
        <v>Base case</v>
      </c>
      <c r="B21" s="180" t="str">
        <f>'2-Productivity Inputs'!B19</f>
        <v>T3 Lane</v>
      </c>
      <c r="C21" s="193"/>
      <c r="D21" s="193"/>
      <c r="E21" s="193"/>
      <c r="F21" s="193"/>
      <c r="G21" s="193"/>
      <c r="H21" s="193"/>
      <c r="I21" s="193"/>
      <c r="J21" s="193"/>
      <c r="K21" s="193"/>
      <c r="L21" s="637"/>
      <c r="M21" s="635"/>
      <c r="N21" s="625"/>
    </row>
    <row r="22" spans="1:21" s="628" customFormat="1" ht="45" x14ac:dyDescent="0.2">
      <c r="A22" s="160" t="s">
        <v>11</v>
      </c>
      <c r="B22" s="142" t="s">
        <v>348</v>
      </c>
      <c r="C22" s="161" t="s">
        <v>361</v>
      </c>
      <c r="D22" s="161" t="s">
        <v>351</v>
      </c>
      <c r="E22" s="161" t="s">
        <v>362</v>
      </c>
      <c r="F22" s="161" t="s">
        <v>334</v>
      </c>
      <c r="G22" s="161" t="s">
        <v>232</v>
      </c>
      <c r="H22" s="161" t="s">
        <v>363</v>
      </c>
      <c r="I22" s="142" t="s">
        <v>231</v>
      </c>
      <c r="J22" s="161" t="s">
        <v>347</v>
      </c>
      <c r="K22" s="195" t="s">
        <v>322</v>
      </c>
      <c r="L22" s="194" t="s">
        <v>350</v>
      </c>
      <c r="N22" s="162"/>
    </row>
    <row r="23" spans="1:21" s="628" customFormat="1" ht="16" x14ac:dyDescent="0.2">
      <c r="A23" s="210" t="str">
        <f>B13</f>
        <v xml:space="preserve">Bus </v>
      </c>
      <c r="B23" s="145">
        <f>D13</f>
        <v>10</v>
      </c>
      <c r="C23" s="164">
        <f t="shared" ref="C23:C28" si="0">B23/$D$18</f>
        <v>9.0497737556561094E-3</v>
      </c>
      <c r="D23" s="145">
        <f t="shared" ref="D23:E27" si="1">E13</f>
        <v>200</v>
      </c>
      <c r="E23" s="164">
        <f t="shared" si="1"/>
        <v>0.15444015444015444</v>
      </c>
      <c r="F23" s="165">
        <f>'2-Productivity Inputs'!B25</f>
        <v>19</v>
      </c>
      <c r="G23" s="183">
        <f>$C$3/F23*60</f>
        <v>0</v>
      </c>
      <c r="H23" s="183">
        <f>G23-$C$4</f>
        <v>0</v>
      </c>
      <c r="I23" s="196" t="str">
        <f>IF(F23&gt;='1-FC and Land Use Inputs'!$K$9,"A",IF(F23&gt;='1-FC and Land Use Inputs'!$K$10,"B",IF(F23&gt;='1-FC and Land Use Inputs'!$K$11,"C",IF(F23&gt;='1-FC and Land Use Inputs'!$K$12,"D",IF(F23&gt;='1-FC and Land Use Inputs'!$K$13,"E","F")))))</f>
        <v>E</v>
      </c>
      <c r="J23" s="166">
        <f>D23*F23</f>
        <v>3800</v>
      </c>
      <c r="K23" s="198">
        <f>IFERROR(F23*B23,"")</f>
        <v>190</v>
      </c>
      <c r="L23" s="199">
        <f>G23*D23</f>
        <v>0</v>
      </c>
      <c r="N23" s="167"/>
    </row>
    <row r="24" spans="1:21" s="628" customFormat="1" x14ac:dyDescent="0.2">
      <c r="A24" s="210" t="str">
        <f t="shared" ref="A24:A27" si="2">B14</f>
        <v>Freight</v>
      </c>
      <c r="B24" s="145">
        <f>D14</f>
        <v>0</v>
      </c>
      <c r="C24" s="164">
        <f t="shared" si="0"/>
        <v>0</v>
      </c>
      <c r="D24" s="145">
        <f t="shared" si="1"/>
        <v>0</v>
      </c>
      <c r="E24" s="164">
        <f t="shared" si="1"/>
        <v>0</v>
      </c>
      <c r="F24" s="165">
        <f>'2-Productivity Inputs'!D25</f>
        <v>32</v>
      </c>
      <c r="G24" s="165">
        <f>IF(F24&lt;&gt;"",$C$3/F24*60,"")</f>
        <v>0</v>
      </c>
      <c r="H24" s="165">
        <f>G24-$C$4</f>
        <v>0</v>
      </c>
      <c r="I24" s="638" t="str">
        <f>IF(G24&lt;&gt;"",IF(F24&gt;='1-FC and Land Use Inputs'!$K$9,"A",IF(F24&gt;='1-FC and Land Use Inputs'!$K$10,"B",IF(F24&gt;='1-FC and Land Use Inputs'!$K$11,"C",IF(F24&gt;='1-FC and Land Use Inputs'!$K$12,"D",IF(F24&gt;='1-FC and Land Use Inputs'!$K$13,"E","F"))))),"")</f>
        <v>C</v>
      </c>
      <c r="J24" s="166">
        <f>IF(D24&lt;&gt;"",D24*F24,"")</f>
        <v>0</v>
      </c>
      <c r="K24" s="198">
        <f>IFERROR(F24*B24,"")</f>
        <v>0</v>
      </c>
      <c r="L24" s="199">
        <f>G24*D24</f>
        <v>0</v>
      </c>
      <c r="N24" s="167"/>
      <c r="T24" s="639"/>
    </row>
    <row r="25" spans="1:21" s="628" customFormat="1" x14ac:dyDescent="0.2">
      <c r="A25" s="210" t="str">
        <f t="shared" si="2"/>
        <v>T3+ Vehicle</v>
      </c>
      <c r="B25" s="168">
        <f>D15</f>
        <v>0</v>
      </c>
      <c r="C25" s="169">
        <f t="shared" si="0"/>
        <v>0</v>
      </c>
      <c r="D25" s="168">
        <f t="shared" si="1"/>
        <v>0</v>
      </c>
      <c r="E25" s="169">
        <f t="shared" si="1"/>
        <v>0</v>
      </c>
      <c r="F25" s="170">
        <f>'2-Productivity Inputs'!E25</f>
        <v>22</v>
      </c>
      <c r="G25" s="165">
        <f>IF(F25&lt;&gt;"",$C$3/F25*60,"")</f>
        <v>0</v>
      </c>
      <c r="H25" s="165">
        <f>G25-$C$4</f>
        <v>0</v>
      </c>
      <c r="I25" s="640" t="str">
        <f>IF(G25&lt;&gt;"",IF(F25&gt;='1-FC and Land Use Inputs'!$K$9,"A",IF(F25&gt;='1-FC and Land Use Inputs'!$K$10,"B",IF(F25&gt;='1-FC and Land Use Inputs'!$K$11,"C",IF(F25&gt;='1-FC and Land Use Inputs'!$K$12,"D",IF(F25&gt;='1-FC and Land Use Inputs'!$K$13,"E","F"))))),"")</f>
        <v>D</v>
      </c>
      <c r="J25" s="171">
        <f>IF(D25&lt;&gt;"",D25*F25,"")</f>
        <v>0</v>
      </c>
      <c r="K25" s="198">
        <f>IFERROR(F25*B25,"")</f>
        <v>0</v>
      </c>
      <c r="L25" s="199">
        <f>G25*D25</f>
        <v>0</v>
      </c>
      <c r="N25" s="167"/>
      <c r="T25" s="639"/>
    </row>
    <row r="26" spans="1:21" s="628" customFormat="1" x14ac:dyDescent="0.2">
      <c r="A26" s="163" t="str">
        <f t="shared" si="2"/>
        <v>T2 Vehicle</v>
      </c>
      <c r="B26" s="145">
        <f>D16</f>
        <v>0</v>
      </c>
      <c r="C26" s="164">
        <f t="shared" si="0"/>
        <v>0</v>
      </c>
      <c r="D26" s="145">
        <f t="shared" si="1"/>
        <v>0</v>
      </c>
      <c r="E26" s="164">
        <f t="shared" si="1"/>
        <v>0</v>
      </c>
      <c r="F26" s="165">
        <f>IF(OR(B21=$I$15,B21=$I$18),F25,F27)</f>
        <v>22</v>
      </c>
      <c r="G26" s="165">
        <f>IF(F26&lt;&gt;"",$C$3/F26*60,"")</f>
        <v>0</v>
      </c>
      <c r="H26" s="165">
        <f>G26-$C$4</f>
        <v>0</v>
      </c>
      <c r="I26" s="638" t="str">
        <f>IF(G26&lt;&gt;"",IF(F26&gt;='1-FC and Land Use Inputs'!$K$9,"A",IF(F26&gt;='1-FC and Land Use Inputs'!$K$10,"B",IF(F26&gt;='1-FC and Land Use Inputs'!$K$11,"C",IF(F26&gt;='1-FC and Land Use Inputs'!$K$12,"D",IF(F26&gt;='1-FC and Land Use Inputs'!$K$13,"E","F"))))),"")</f>
        <v>D</v>
      </c>
      <c r="J26" s="166">
        <f>IF(D26&lt;&gt;"",D26*F26,"")</f>
        <v>0</v>
      </c>
      <c r="K26" s="198">
        <f>IFERROR(F26*B26,"")</f>
        <v>0</v>
      </c>
      <c r="L26" s="199">
        <f>G26*D26</f>
        <v>0</v>
      </c>
      <c r="N26" s="167"/>
      <c r="T26" s="639"/>
    </row>
    <row r="27" spans="1:21" s="628" customFormat="1" ht="16" thickBot="1" x14ac:dyDescent="0.25">
      <c r="A27" s="215" t="str">
        <f t="shared" si="2"/>
        <v>T1 Vehicle</v>
      </c>
      <c r="B27" s="206">
        <f>D17</f>
        <v>1095</v>
      </c>
      <c r="C27" s="207">
        <f t="shared" si="0"/>
        <v>0.99095022624434392</v>
      </c>
      <c r="D27" s="206">
        <f t="shared" si="1"/>
        <v>1095</v>
      </c>
      <c r="E27" s="207">
        <f t="shared" si="1"/>
        <v>0.84555984555984554</v>
      </c>
      <c r="F27" s="208">
        <f>'2-Productivity Inputs'!C25</f>
        <v>22</v>
      </c>
      <c r="G27" s="208">
        <f>IF(F27&lt;&gt;"",C$3*1000/F27*3.6/60,"")</f>
        <v>0</v>
      </c>
      <c r="H27" s="208">
        <f>G27-$C$4</f>
        <v>0</v>
      </c>
      <c r="I27" s="641" t="str">
        <f>IF(G27&lt;&gt;"",IF(F27&gt;='1-FC and Land Use Inputs'!$K$9,"A",IF(F27&gt;='1-FC and Land Use Inputs'!$K$10,"B",IF(F27&gt;='1-FC and Land Use Inputs'!$K$11,"C",IF(F27&gt;='1-FC and Land Use Inputs'!$K$12,"D",IF(F27&gt;='1-FC and Land Use Inputs'!$K$13,"E","F"))))),"")</f>
        <v>D</v>
      </c>
      <c r="J27" s="209">
        <f>IF(D27&lt;&gt;"",D27*F27,"")</f>
        <v>24090</v>
      </c>
      <c r="K27" s="200">
        <f>IFERROR(F27*B27,"")</f>
        <v>24090</v>
      </c>
      <c r="L27" s="201">
        <f>G27*D27</f>
        <v>0</v>
      </c>
      <c r="N27" s="167"/>
      <c r="T27" s="639"/>
    </row>
    <row r="28" spans="1:21" s="628" customFormat="1" ht="17" thickTop="1" thickBot="1" x14ac:dyDescent="0.25">
      <c r="A28" s="175"/>
      <c r="B28" s="177">
        <f>SUM(B23:B27)</f>
        <v>1105</v>
      </c>
      <c r="C28" s="153">
        <f t="shared" si="0"/>
        <v>1</v>
      </c>
      <c r="D28" s="177">
        <f>SUM(D23:D27)</f>
        <v>1295</v>
      </c>
      <c r="E28" s="153">
        <f>D28/$E$18</f>
        <v>1</v>
      </c>
      <c r="F28" s="216"/>
      <c r="G28" s="197">
        <f>SUMPRODUCT(D23:D27,G23:G27)/SUM(D23:D27)</f>
        <v>0</v>
      </c>
      <c r="H28" s="642"/>
      <c r="I28" s="178"/>
      <c r="J28" s="179">
        <f>SUM(J23:J27)</f>
        <v>27890</v>
      </c>
      <c r="K28" s="202">
        <f>SUM(K23:K27)</f>
        <v>24280</v>
      </c>
      <c r="L28" s="203">
        <f>SUM(L23:L27)</f>
        <v>0</v>
      </c>
      <c r="N28" s="625"/>
      <c r="Q28" s="635"/>
      <c r="T28" s="639"/>
    </row>
    <row r="29" spans="1:21" s="628" customFormat="1" ht="16" thickBot="1" x14ac:dyDescent="0.25">
      <c r="A29" s="625"/>
      <c r="C29" s="625"/>
      <c r="D29" s="625"/>
      <c r="E29" s="625"/>
      <c r="F29" s="625"/>
      <c r="G29" s="625"/>
      <c r="H29" s="625"/>
      <c r="I29" s="625"/>
      <c r="J29" s="625"/>
      <c r="K29" s="625"/>
      <c r="L29" s="625"/>
      <c r="M29" s="625"/>
      <c r="N29" s="625"/>
      <c r="O29" s="625"/>
      <c r="P29" s="626"/>
      <c r="Q29" s="635"/>
      <c r="S29" s="635"/>
      <c r="T29" s="635"/>
      <c r="U29" s="635"/>
    </row>
    <row r="30" spans="1:21" s="628" customFormat="1" x14ac:dyDescent="0.2">
      <c r="A30" s="192" t="str">
        <f>'2-Productivity Inputs'!A20</f>
        <v>Option 1</v>
      </c>
      <c r="B30" s="180" t="str">
        <f>'2-Productivity Inputs'!B20</f>
        <v>HV + Bus Lane</v>
      </c>
      <c r="C30" s="191"/>
      <c r="D30" s="191"/>
      <c r="E30" s="191"/>
      <c r="F30" s="191"/>
      <c r="G30" s="191"/>
      <c r="H30" s="191"/>
      <c r="I30" s="193"/>
      <c r="J30" s="191"/>
      <c r="K30" s="191"/>
      <c r="L30" s="643"/>
      <c r="M30" s="644"/>
      <c r="N30" s="217"/>
      <c r="O30" s="191"/>
      <c r="P30" s="228"/>
      <c r="Q30" s="635"/>
      <c r="S30" s="635"/>
      <c r="T30" s="635"/>
      <c r="U30" s="635"/>
    </row>
    <row r="31" spans="1:21" s="628" customFormat="1" ht="45" x14ac:dyDescent="0.2">
      <c r="A31" s="181" t="s">
        <v>11</v>
      </c>
      <c r="B31" s="142" t="s">
        <v>348</v>
      </c>
      <c r="C31" s="161" t="s">
        <v>361</v>
      </c>
      <c r="D31" s="161" t="s">
        <v>351</v>
      </c>
      <c r="E31" s="161" t="s">
        <v>362</v>
      </c>
      <c r="F31" s="161" t="s">
        <v>349</v>
      </c>
      <c r="G31" s="161" t="s">
        <v>232</v>
      </c>
      <c r="H31" s="161" t="s">
        <v>363</v>
      </c>
      <c r="I31" s="142" t="s">
        <v>231</v>
      </c>
      <c r="J31" s="161" t="s">
        <v>347</v>
      </c>
      <c r="K31" s="195" t="s">
        <v>322</v>
      </c>
      <c r="L31" s="220" t="s">
        <v>350</v>
      </c>
      <c r="M31" s="218" t="s">
        <v>229</v>
      </c>
      <c r="N31" s="182" t="s">
        <v>218</v>
      </c>
      <c r="O31" s="161" t="s">
        <v>228</v>
      </c>
      <c r="P31" s="143" t="s">
        <v>227</v>
      </c>
      <c r="Q31" s="635"/>
      <c r="S31" s="635"/>
      <c r="T31" s="635"/>
      <c r="U31" s="635"/>
    </row>
    <row r="32" spans="1:21" s="628" customFormat="1" ht="16" x14ac:dyDescent="0.2">
      <c r="A32" s="163" t="str">
        <f t="shared" ref="A32:E36" si="3">A23</f>
        <v xml:space="preserve">Bus </v>
      </c>
      <c r="B32" s="145">
        <f t="shared" si="3"/>
        <v>10</v>
      </c>
      <c r="C32" s="225">
        <f t="shared" si="3"/>
        <v>9.0497737556561094E-3</v>
      </c>
      <c r="D32" s="145">
        <f t="shared" si="3"/>
        <v>200</v>
      </c>
      <c r="E32" s="164">
        <f t="shared" si="3"/>
        <v>0.15444015444015444</v>
      </c>
      <c r="F32" s="165">
        <f>'2-Productivity Inputs'!B26</f>
        <v>21</v>
      </c>
      <c r="G32" s="183">
        <f>$C$3/F32*60</f>
        <v>0</v>
      </c>
      <c r="H32" s="183">
        <f>G32-$C$4</f>
        <v>0</v>
      </c>
      <c r="I32" s="196" t="str">
        <f>IF(F32&gt;='1-FC and Land Use Inputs'!$K$9,"A",IF(F32&gt;='1-FC and Land Use Inputs'!$K$10,"B",IF(F32&gt;='1-FC and Land Use Inputs'!$K$11,"C",IF(F32&gt;='1-FC and Land Use Inputs'!$K$12,"D",IF(F32&gt;='1-FC and Land Use Inputs'!$K$13,"E","F")))))</f>
        <v>D</v>
      </c>
      <c r="J32" s="166">
        <f>D32*F32</f>
        <v>4200</v>
      </c>
      <c r="K32" s="198">
        <f>IFERROR(F32*B32,"")</f>
        <v>210</v>
      </c>
      <c r="L32" s="221">
        <f>G32*D32</f>
        <v>0</v>
      </c>
      <c r="M32" s="645"/>
      <c r="N32" s="646"/>
      <c r="O32" s="184">
        <f>$G$23-G32</f>
        <v>0</v>
      </c>
      <c r="P32" s="229" t="e">
        <f>(G32-$G$23)/$G$23</f>
        <v>#DIV/0!</v>
      </c>
      <c r="Q32" s="635"/>
      <c r="S32" s="635"/>
      <c r="T32" s="635"/>
      <c r="U32" s="635"/>
    </row>
    <row r="33" spans="1:21" s="628" customFormat="1" x14ac:dyDescent="0.2">
      <c r="A33" s="163" t="str">
        <f t="shared" si="3"/>
        <v>Freight</v>
      </c>
      <c r="B33" s="145">
        <f t="shared" si="3"/>
        <v>0</v>
      </c>
      <c r="C33" s="225">
        <f t="shared" si="3"/>
        <v>0</v>
      </c>
      <c r="D33" s="145">
        <f t="shared" si="3"/>
        <v>0</v>
      </c>
      <c r="E33" s="164">
        <f t="shared" si="3"/>
        <v>0</v>
      </c>
      <c r="F33" s="165">
        <f>'2-Productivity Inputs'!D26</f>
        <v>25</v>
      </c>
      <c r="G33" s="183">
        <f>IF(F33&lt;&gt;"",$C$3/F33*60,"")</f>
        <v>0</v>
      </c>
      <c r="H33" s="165">
        <f>G33-$C$4</f>
        <v>0</v>
      </c>
      <c r="I33" s="638" t="str">
        <f>IF(G33&lt;&gt;"",IF(F33&gt;='1-FC and Land Use Inputs'!$K$9,"A",IF(F33&gt;='1-FC and Land Use Inputs'!$K$10,"B",IF(F33&gt;='1-FC and Land Use Inputs'!$K$11,"C",IF(F33&gt;='1-FC and Land Use Inputs'!$K$12,"D",IF(F33&gt;='1-FC and Land Use Inputs'!$K$13,"E","F"))))),"")</f>
        <v>C</v>
      </c>
      <c r="J33" s="166">
        <f>D33*F33</f>
        <v>0</v>
      </c>
      <c r="K33" s="198">
        <f>IFERROR(F33*B33,"")</f>
        <v>0</v>
      </c>
      <c r="L33" s="221">
        <f t="shared" ref="L33:L36" si="4">G33*D33</f>
        <v>0</v>
      </c>
      <c r="M33" s="625"/>
      <c r="N33" s="647"/>
      <c r="O33" s="184">
        <f>$G$24-G33</f>
        <v>0</v>
      </c>
      <c r="P33" s="229" t="e">
        <f>(G33-$G$24)/$G$24</f>
        <v>#DIV/0!</v>
      </c>
      <c r="Q33" s="635"/>
      <c r="S33" s="635"/>
      <c r="T33" s="635"/>
      <c r="U33" s="635"/>
    </row>
    <row r="34" spans="1:21" s="628" customFormat="1" x14ac:dyDescent="0.2">
      <c r="A34" s="163" t="str">
        <f t="shared" si="3"/>
        <v>T3+ Vehicle</v>
      </c>
      <c r="B34" s="145">
        <f t="shared" si="3"/>
        <v>0</v>
      </c>
      <c r="C34" s="225">
        <f t="shared" si="3"/>
        <v>0</v>
      </c>
      <c r="D34" s="145">
        <f t="shared" si="3"/>
        <v>0</v>
      </c>
      <c r="E34" s="164">
        <f t="shared" si="3"/>
        <v>0</v>
      </c>
      <c r="F34" s="170">
        <f>'2-Productivity Inputs'!E26</f>
        <v>18</v>
      </c>
      <c r="G34" s="183">
        <f>IF(F34&lt;&gt;"",$C$3/F34*60,"")</f>
        <v>0</v>
      </c>
      <c r="H34" s="165">
        <f>G34-$C$4</f>
        <v>0</v>
      </c>
      <c r="I34" s="638" t="str">
        <f>IF(G34&lt;&gt;"",IF(F34&gt;='1-FC and Land Use Inputs'!$K$9,"A",IF(F34&gt;='1-FC and Land Use Inputs'!$K$10,"B",IF(F34&gt;='1-FC and Land Use Inputs'!$K$11,"C",IF(F34&gt;='1-FC and Land Use Inputs'!$K$12,"D",IF(F34&gt;='1-FC and Land Use Inputs'!$K$13,"E","F"))))),"")</f>
        <v>E</v>
      </c>
      <c r="J34" s="166">
        <f>D34*F34</f>
        <v>0</v>
      </c>
      <c r="K34" s="198">
        <f>IFERROR(F34*B34,"")</f>
        <v>0</v>
      </c>
      <c r="L34" s="221">
        <f t="shared" si="4"/>
        <v>0</v>
      </c>
      <c r="M34" s="625"/>
      <c r="N34" s="647"/>
      <c r="O34" s="184">
        <f>$G$25-G34</f>
        <v>0</v>
      </c>
      <c r="P34" s="229" t="e">
        <f>(G34-$G$25)/$G$25</f>
        <v>#DIV/0!</v>
      </c>
      <c r="Q34" s="635"/>
      <c r="S34" s="635"/>
      <c r="T34" s="635"/>
      <c r="U34" s="635"/>
    </row>
    <row r="35" spans="1:21" s="628" customFormat="1" x14ac:dyDescent="0.2">
      <c r="A35" s="210" t="str">
        <f t="shared" si="3"/>
        <v>T2 Vehicle</v>
      </c>
      <c r="B35" s="211">
        <f t="shared" si="3"/>
        <v>0</v>
      </c>
      <c r="C35" s="226">
        <f t="shared" si="3"/>
        <v>0</v>
      </c>
      <c r="D35" s="211">
        <f t="shared" si="3"/>
        <v>0</v>
      </c>
      <c r="E35" s="212">
        <f t="shared" si="3"/>
        <v>0</v>
      </c>
      <c r="F35" s="165">
        <f>IF(OR(B30=$I$15,B30=$I$18),F34,F36)</f>
        <v>2</v>
      </c>
      <c r="G35" s="183">
        <f>IF(F35&lt;&gt;"",$C$3/F35*60,"")</f>
        <v>0</v>
      </c>
      <c r="H35" s="165">
        <f>G35-$C$4</f>
        <v>0</v>
      </c>
      <c r="I35" s="638" t="str">
        <f>IF(G35&lt;&gt;"",IF(F35&gt;='1-FC and Land Use Inputs'!$K$9,"A",IF(F35&gt;='1-FC and Land Use Inputs'!$K$10,"B",IF(F35&gt;='1-FC and Land Use Inputs'!$K$11,"C",IF(F35&gt;='1-FC and Land Use Inputs'!$K$12,"D",IF(F35&gt;='1-FC and Land Use Inputs'!$K$13,"E","F"))))),"")</f>
        <v>F</v>
      </c>
      <c r="J35" s="213">
        <f>D35*F35</f>
        <v>0</v>
      </c>
      <c r="K35" s="198">
        <f>IFERROR(F35*B35,"")</f>
        <v>0</v>
      </c>
      <c r="L35" s="222">
        <f t="shared" si="4"/>
        <v>0</v>
      </c>
      <c r="M35" s="625"/>
      <c r="N35" s="647"/>
      <c r="O35" s="214">
        <f>$G$26-G35</f>
        <v>0</v>
      </c>
      <c r="P35" s="230" t="e">
        <f>(G35-$G$26)/$G$26</f>
        <v>#DIV/0!</v>
      </c>
      <c r="Q35" s="635"/>
      <c r="S35" s="635"/>
      <c r="T35" s="635"/>
      <c r="U35" s="635"/>
    </row>
    <row r="36" spans="1:21" s="628" customFormat="1" ht="16" thickBot="1" x14ac:dyDescent="0.25">
      <c r="A36" s="172" t="str">
        <f t="shared" si="3"/>
        <v>T1 Vehicle</v>
      </c>
      <c r="B36" s="150">
        <f t="shared" si="3"/>
        <v>1095</v>
      </c>
      <c r="C36" s="227">
        <f t="shared" si="3"/>
        <v>0.99095022624434392</v>
      </c>
      <c r="D36" s="150">
        <f t="shared" si="3"/>
        <v>1095</v>
      </c>
      <c r="E36" s="173">
        <f t="shared" si="3"/>
        <v>0.84555984555984554</v>
      </c>
      <c r="F36" s="208">
        <f>'2-Productivity Inputs'!C26</f>
        <v>2</v>
      </c>
      <c r="G36" s="185">
        <f>IF(F36&lt;&gt;"",$C$3/F36*60,"")</f>
        <v>0</v>
      </c>
      <c r="H36" s="208">
        <f>G36-$C$4</f>
        <v>0</v>
      </c>
      <c r="I36" s="648" t="str">
        <f>IF(G36&lt;&gt;"",IF(F36&gt;='1-FC and Land Use Inputs'!$K$9,"A",IF(F36&gt;='1-FC and Land Use Inputs'!$K$10,"B",IF(F36&gt;='1-FC and Land Use Inputs'!$K$11,"C",IF(F36&gt;='1-FC and Land Use Inputs'!$K$12,"D",IF(F36&gt;='1-FC and Land Use Inputs'!$K$13,"E","F"))))),"")</f>
        <v>F</v>
      </c>
      <c r="J36" s="174">
        <f>D36*F36</f>
        <v>2190</v>
      </c>
      <c r="K36" s="200">
        <f>IFERROR(F36*B36,"")</f>
        <v>2190</v>
      </c>
      <c r="L36" s="223">
        <f t="shared" si="4"/>
        <v>0</v>
      </c>
      <c r="M36" s="649"/>
      <c r="N36" s="650"/>
      <c r="O36" s="186">
        <f>$G$27-G36</f>
        <v>0</v>
      </c>
      <c r="P36" s="231" t="e">
        <f>(G36-$G$27)/$G$27</f>
        <v>#DIV/0!</v>
      </c>
      <c r="Q36" s="635"/>
      <c r="S36" s="651"/>
    </row>
    <row r="37" spans="1:21" s="628" customFormat="1" ht="17" thickTop="1" thickBot="1" x14ac:dyDescent="0.25">
      <c r="A37" s="176"/>
      <c r="B37" s="177">
        <f>SUM(B32:B36)</f>
        <v>1105</v>
      </c>
      <c r="C37" s="153">
        <f>$D$18/B37</f>
        <v>1</v>
      </c>
      <c r="D37" s="177">
        <f>SUM(D32:D36)</f>
        <v>1295</v>
      </c>
      <c r="E37" s="153">
        <f>E18/$D$37</f>
        <v>1</v>
      </c>
      <c r="F37" s="197"/>
      <c r="G37" s="197">
        <f>SUMPRODUCT(D32:D36,G32:G36)/SUM(D32:D36)</f>
        <v>0</v>
      </c>
      <c r="H37" s="642"/>
      <c r="I37" s="187"/>
      <c r="J37" s="179">
        <f>SUM(J32:J36)</f>
        <v>6390</v>
      </c>
      <c r="K37" s="202">
        <f>SUM(K32:K36)</f>
        <v>2400</v>
      </c>
      <c r="L37" s="224">
        <f>SUM(L32:L36)</f>
        <v>0</v>
      </c>
      <c r="M37" s="219">
        <f>(J37-$J$28)/$J$28</f>
        <v>-0.77088562208676947</v>
      </c>
      <c r="N37" s="188" t="e">
        <f>($G$24-G33)/$G$24</f>
        <v>#DIV/0!</v>
      </c>
      <c r="O37" s="652"/>
      <c r="P37" s="232"/>
      <c r="Q37" s="635"/>
      <c r="S37" s="651"/>
    </row>
    <row r="38" spans="1:21" s="628" customFormat="1" ht="22" thickBot="1" x14ac:dyDescent="0.25">
      <c r="A38" s="189"/>
      <c r="B38" s="190"/>
      <c r="C38" s="625"/>
      <c r="D38" s="625"/>
      <c r="E38" s="625"/>
      <c r="F38" s="625"/>
      <c r="G38" s="625"/>
      <c r="H38" s="653"/>
      <c r="I38" s="625"/>
      <c r="J38" s="654"/>
      <c r="K38" s="625"/>
      <c r="L38" s="625"/>
      <c r="M38" s="625"/>
      <c r="N38" s="625"/>
      <c r="O38" s="625"/>
      <c r="P38" s="655"/>
      <c r="Q38" s="635"/>
    </row>
    <row r="39" spans="1:21" s="628" customFormat="1" x14ac:dyDescent="0.2">
      <c r="A39" s="192" t="str">
        <f>'2-Productivity Inputs'!A21</f>
        <v>Option 2</v>
      </c>
      <c r="B39" s="180" t="str">
        <f>'2-Productivity Inputs'!B21</f>
        <v>N/A</v>
      </c>
      <c r="C39" s="191"/>
      <c r="D39" s="191"/>
      <c r="E39" s="191"/>
      <c r="F39" s="191"/>
      <c r="G39" s="191"/>
      <c r="H39" s="191"/>
      <c r="I39" s="193"/>
      <c r="J39" s="191"/>
      <c r="K39" s="191"/>
      <c r="L39" s="643"/>
      <c r="M39" s="644"/>
      <c r="N39" s="217"/>
      <c r="O39" s="191"/>
      <c r="P39" s="228"/>
      <c r="Q39" s="635"/>
      <c r="R39" s="635"/>
      <c r="S39" s="635"/>
      <c r="T39" s="635"/>
    </row>
    <row r="40" spans="1:21" s="628" customFormat="1" ht="45" x14ac:dyDescent="0.2">
      <c r="A40" s="181" t="s">
        <v>11</v>
      </c>
      <c r="B40" s="142" t="s">
        <v>348</v>
      </c>
      <c r="C40" s="161" t="s">
        <v>361</v>
      </c>
      <c r="D40" s="161" t="s">
        <v>351</v>
      </c>
      <c r="E40" s="161" t="s">
        <v>362</v>
      </c>
      <c r="F40" s="161" t="s">
        <v>349</v>
      </c>
      <c r="G40" s="161" t="s">
        <v>232</v>
      </c>
      <c r="H40" s="161" t="s">
        <v>363</v>
      </c>
      <c r="I40" s="142" t="s">
        <v>231</v>
      </c>
      <c r="J40" s="161" t="s">
        <v>347</v>
      </c>
      <c r="K40" s="195" t="s">
        <v>322</v>
      </c>
      <c r="L40" s="220" t="s">
        <v>350</v>
      </c>
      <c r="M40" s="218" t="s">
        <v>229</v>
      </c>
      <c r="N40" s="182" t="s">
        <v>218</v>
      </c>
      <c r="O40" s="161" t="s">
        <v>228</v>
      </c>
      <c r="P40" s="143" t="s">
        <v>227</v>
      </c>
      <c r="Q40" s="635"/>
      <c r="R40" s="635"/>
      <c r="S40" s="635"/>
      <c r="T40" s="635"/>
    </row>
    <row r="41" spans="1:21" s="628" customFormat="1" ht="16" x14ac:dyDescent="0.2">
      <c r="A41" s="163" t="str">
        <f t="shared" ref="A41:E45" si="5">A32</f>
        <v xml:space="preserve">Bus </v>
      </c>
      <c r="B41" s="145">
        <f t="shared" si="5"/>
        <v>10</v>
      </c>
      <c r="C41" s="225">
        <f t="shared" si="5"/>
        <v>9.0497737556561094E-3</v>
      </c>
      <c r="D41" s="145">
        <f t="shared" si="5"/>
        <v>200</v>
      </c>
      <c r="E41" s="164">
        <f t="shared" si="5"/>
        <v>0.15444015444015444</v>
      </c>
      <c r="F41" s="165">
        <f>'2-Productivity Inputs'!B27</f>
        <v>8</v>
      </c>
      <c r="G41" s="183">
        <f>$C$3/F41*60</f>
        <v>0</v>
      </c>
      <c r="H41" s="183">
        <f>G41-$C$4</f>
        <v>0</v>
      </c>
      <c r="I41" s="196" t="str">
        <f>IF(F41&gt;='1-FC and Land Use Inputs'!$K$9,"A",IF(F41&gt;='1-FC and Land Use Inputs'!$K$10,"B",IF(F41&gt;='1-FC and Land Use Inputs'!$K$11,"C",IF(F41&gt;='1-FC and Land Use Inputs'!$K$12,"D",IF(F41&gt;='1-FC and Land Use Inputs'!$K$13,"E","F")))))</f>
        <v>F</v>
      </c>
      <c r="J41" s="166">
        <f>D41*F41</f>
        <v>1600</v>
      </c>
      <c r="K41" s="198">
        <f>IFERROR(F41*B41,"")</f>
        <v>80</v>
      </c>
      <c r="L41" s="221">
        <f>G41*D41</f>
        <v>0</v>
      </c>
      <c r="M41" s="645"/>
      <c r="N41" s="646"/>
      <c r="O41" s="184">
        <f>$G$23-G41</f>
        <v>0</v>
      </c>
      <c r="P41" s="229" t="e">
        <f>(G41-$G$23)/$G$23</f>
        <v>#DIV/0!</v>
      </c>
      <c r="Q41" s="635"/>
      <c r="R41" s="635"/>
      <c r="S41" s="635"/>
      <c r="T41" s="635"/>
    </row>
    <row r="42" spans="1:21" s="628" customFormat="1" x14ac:dyDescent="0.2">
      <c r="A42" s="163" t="str">
        <f t="shared" si="5"/>
        <v>Freight</v>
      </c>
      <c r="B42" s="145">
        <f t="shared" si="5"/>
        <v>0</v>
      </c>
      <c r="C42" s="225">
        <f t="shared" si="5"/>
        <v>0</v>
      </c>
      <c r="D42" s="145">
        <f t="shared" si="5"/>
        <v>0</v>
      </c>
      <c r="E42" s="164">
        <f t="shared" si="5"/>
        <v>0</v>
      </c>
      <c r="F42" s="165">
        <f>'2-Productivity Inputs'!D27</f>
        <v>8</v>
      </c>
      <c r="G42" s="183">
        <f>IF(F42&lt;&gt;"",$C$3/F42*60,"")</f>
        <v>0</v>
      </c>
      <c r="H42" s="165">
        <f t="shared" ref="H42:H45" si="6">G42-$C$4</f>
        <v>0</v>
      </c>
      <c r="I42" s="638" t="str">
        <f>IF(G42&lt;&gt;"",IF(F42&gt;='1-FC and Land Use Inputs'!$K$9,"A",IF(F42&gt;='1-FC and Land Use Inputs'!$K$10,"B",IF(F42&gt;='1-FC and Land Use Inputs'!$K$11,"C",IF(F42&gt;='1-FC and Land Use Inputs'!$K$12,"D",IF(F42&gt;='1-FC and Land Use Inputs'!$K$13,"E","F"))))),"")</f>
        <v>F</v>
      </c>
      <c r="J42" s="166">
        <f t="shared" ref="J42:J45" si="7">D42*F42</f>
        <v>0</v>
      </c>
      <c r="K42" s="198">
        <f t="shared" ref="K42:K44" si="8">IFERROR(F42*B42,"")</f>
        <v>0</v>
      </c>
      <c r="L42" s="221">
        <f t="shared" ref="L42:L45" si="9">G42*D42</f>
        <v>0</v>
      </c>
      <c r="M42" s="625"/>
      <c r="N42" s="647"/>
      <c r="O42" s="184">
        <f>$G$24-G42</f>
        <v>0</v>
      </c>
      <c r="P42" s="229" t="e">
        <f>(G42-$G$24)/$G$24</f>
        <v>#DIV/0!</v>
      </c>
      <c r="Q42" s="635"/>
      <c r="R42" s="635"/>
      <c r="S42" s="635"/>
      <c r="T42" s="635"/>
    </row>
    <row r="43" spans="1:21" s="628" customFormat="1" x14ac:dyDescent="0.2">
      <c r="A43" s="163" t="str">
        <f t="shared" si="5"/>
        <v>T3+ Vehicle</v>
      </c>
      <c r="B43" s="145">
        <f t="shared" si="5"/>
        <v>0</v>
      </c>
      <c r="C43" s="225">
        <f t="shared" si="5"/>
        <v>0</v>
      </c>
      <c r="D43" s="145">
        <f t="shared" si="5"/>
        <v>0</v>
      </c>
      <c r="E43" s="164">
        <f t="shared" si="5"/>
        <v>0</v>
      </c>
      <c r="F43" s="170">
        <f>'2-Productivity Inputs'!E27</f>
        <v>8</v>
      </c>
      <c r="G43" s="183">
        <f>IF(F43&lt;&gt;"",$C$3/F43*60,"")</f>
        <v>0</v>
      </c>
      <c r="H43" s="165">
        <f t="shared" si="6"/>
        <v>0</v>
      </c>
      <c r="I43" s="638" t="str">
        <f>IF(G43&lt;&gt;"",IF(F43&gt;='1-FC and Land Use Inputs'!$K$9,"A",IF(F43&gt;='1-FC and Land Use Inputs'!$K$10,"B",IF(F43&gt;='1-FC and Land Use Inputs'!$K$11,"C",IF(F43&gt;='1-FC and Land Use Inputs'!$K$12,"D",IF(F43&gt;='1-FC and Land Use Inputs'!$K$13,"E","F"))))),"")</f>
        <v>F</v>
      </c>
      <c r="J43" s="166">
        <f t="shared" si="7"/>
        <v>0</v>
      </c>
      <c r="K43" s="198">
        <f t="shared" si="8"/>
        <v>0</v>
      </c>
      <c r="L43" s="221">
        <f t="shared" si="9"/>
        <v>0</v>
      </c>
      <c r="M43" s="625"/>
      <c r="N43" s="647"/>
      <c r="O43" s="184">
        <f>$G$25-G43</f>
        <v>0</v>
      </c>
      <c r="P43" s="229" t="e">
        <f>(G43-$G$25)/$G$25</f>
        <v>#DIV/0!</v>
      </c>
      <c r="R43" s="635"/>
      <c r="S43" s="635"/>
      <c r="T43" s="635"/>
    </row>
    <row r="44" spans="1:21" s="628" customFormat="1" x14ac:dyDescent="0.2">
      <c r="A44" s="210" t="str">
        <f t="shared" si="5"/>
        <v>T2 Vehicle</v>
      </c>
      <c r="B44" s="211">
        <f t="shared" si="5"/>
        <v>0</v>
      </c>
      <c r="C44" s="226">
        <f t="shared" si="5"/>
        <v>0</v>
      </c>
      <c r="D44" s="211">
        <f t="shared" si="5"/>
        <v>0</v>
      </c>
      <c r="E44" s="212">
        <f t="shared" si="5"/>
        <v>0</v>
      </c>
      <c r="F44" s="165">
        <f>IF(OR(B39=$I$15,B39=$I$18),F43,F45)</f>
        <v>2</v>
      </c>
      <c r="G44" s="183">
        <f>IF(F44&lt;&gt;"",$C$3/F44*60,"")</f>
        <v>0</v>
      </c>
      <c r="H44" s="165">
        <f t="shared" si="6"/>
        <v>0</v>
      </c>
      <c r="I44" s="638" t="str">
        <f>IF(G44&lt;&gt;"",IF(F44&gt;='1-FC and Land Use Inputs'!$K$9,"A",IF(F44&gt;='1-FC and Land Use Inputs'!$K$10,"B",IF(F44&gt;='1-FC and Land Use Inputs'!$K$11,"C",IF(F44&gt;='1-FC and Land Use Inputs'!$K$12,"D",IF(F44&gt;='1-FC and Land Use Inputs'!$K$13,"E","F"))))),"")</f>
        <v>F</v>
      </c>
      <c r="J44" s="213">
        <f t="shared" si="7"/>
        <v>0</v>
      </c>
      <c r="K44" s="198">
        <f t="shared" si="8"/>
        <v>0</v>
      </c>
      <c r="L44" s="222">
        <f t="shared" si="9"/>
        <v>0</v>
      </c>
      <c r="M44" s="625"/>
      <c r="N44" s="647"/>
      <c r="O44" s="214">
        <f>$G$26-G44</f>
        <v>0</v>
      </c>
      <c r="P44" s="230" t="e">
        <f>(G44-$G$26)/$G$26</f>
        <v>#DIV/0!</v>
      </c>
      <c r="R44" s="651"/>
    </row>
    <row r="45" spans="1:21" s="628" customFormat="1" ht="16" thickBot="1" x14ac:dyDescent="0.25">
      <c r="A45" s="172" t="str">
        <f t="shared" si="5"/>
        <v>T1 Vehicle</v>
      </c>
      <c r="B45" s="150">
        <f t="shared" si="5"/>
        <v>1095</v>
      </c>
      <c r="C45" s="227">
        <f t="shared" si="5"/>
        <v>0.99095022624434392</v>
      </c>
      <c r="D45" s="150">
        <f t="shared" si="5"/>
        <v>1095</v>
      </c>
      <c r="E45" s="173">
        <f t="shared" si="5"/>
        <v>0.84555984555984554</v>
      </c>
      <c r="F45" s="208">
        <f>'2-Productivity Inputs'!C27</f>
        <v>2</v>
      </c>
      <c r="G45" s="185">
        <f>IF(F45&lt;&gt;"",$C$3/F45*60,"")</f>
        <v>0</v>
      </c>
      <c r="H45" s="208">
        <f t="shared" si="6"/>
        <v>0</v>
      </c>
      <c r="I45" s="648" t="str">
        <f>IF(G45&lt;&gt;"",IF(F45&gt;='1-FC and Land Use Inputs'!$K$9,"A",IF(F45&gt;='1-FC and Land Use Inputs'!$K$10,"B",IF(F45&gt;='1-FC and Land Use Inputs'!$K$11,"C",IF(F45&gt;='1-FC and Land Use Inputs'!$K$12,"D",IF(F45&gt;='1-FC and Land Use Inputs'!$K$13,"E","F"))))),"")</f>
        <v>F</v>
      </c>
      <c r="J45" s="174">
        <f t="shared" si="7"/>
        <v>2190</v>
      </c>
      <c r="K45" s="200">
        <f>IFERROR(F45*B45,"")</f>
        <v>2190</v>
      </c>
      <c r="L45" s="223">
        <f t="shared" si="9"/>
        <v>0</v>
      </c>
      <c r="M45" s="649"/>
      <c r="N45" s="650"/>
      <c r="O45" s="186">
        <f>$G$27-G45</f>
        <v>0</v>
      </c>
      <c r="P45" s="231" t="e">
        <f>(G45-$G$27)/$G$27</f>
        <v>#DIV/0!</v>
      </c>
      <c r="R45" s="651"/>
    </row>
    <row r="46" spans="1:21" s="628" customFormat="1" ht="17" thickTop="1" thickBot="1" x14ac:dyDescent="0.25">
      <c r="A46" s="176"/>
      <c r="B46" s="177">
        <f>SUM(B41:B45)</f>
        <v>1105</v>
      </c>
      <c r="C46" s="153">
        <f>$D$18/B46</f>
        <v>1</v>
      </c>
      <c r="D46" s="177">
        <f>SUM(D41:D45)</f>
        <v>1295</v>
      </c>
      <c r="E46" s="153">
        <f>D27/$D$37</f>
        <v>0.84555984555984554</v>
      </c>
      <c r="F46" s="197"/>
      <c r="G46" s="197">
        <f>SUMPRODUCT(D41:D45,G41:G45)/SUM(D41:D45)</f>
        <v>0</v>
      </c>
      <c r="H46" s="642"/>
      <c r="I46" s="187"/>
      <c r="J46" s="179">
        <f>SUM(J41:J45)</f>
        <v>3790</v>
      </c>
      <c r="K46" s="202">
        <f>SUM(K41:K45)</f>
        <v>2270</v>
      </c>
      <c r="L46" s="224">
        <f>SUM(L41:L45)</f>
        <v>0</v>
      </c>
      <c r="M46" s="219">
        <f>(J46-$J$28)/$J$28</f>
        <v>-0.86410899964144849</v>
      </c>
      <c r="N46" s="188" t="e">
        <f>($G$24-G42)/$G$24</f>
        <v>#DIV/0!</v>
      </c>
      <c r="O46" s="652"/>
      <c r="P46" s="232"/>
    </row>
    <row r="47" spans="1:21" s="628" customFormat="1" x14ac:dyDescent="0.2">
      <c r="A47" s="625"/>
      <c r="B47" s="190"/>
      <c r="C47" s="625"/>
      <c r="D47" s="625"/>
      <c r="E47" s="625"/>
      <c r="F47" s="625"/>
      <c r="G47" s="625"/>
      <c r="H47" s="625"/>
      <c r="I47" s="625"/>
      <c r="J47" s="625"/>
      <c r="K47" s="625"/>
      <c r="L47" s="625"/>
      <c r="M47" s="625"/>
      <c r="N47" s="625"/>
      <c r="O47" s="625"/>
      <c r="P47" s="626"/>
    </row>
    <row r="50" spans="1:15" s="628" customFormat="1" x14ac:dyDescent="0.2">
      <c r="A50" s="634"/>
      <c r="B50" s="634"/>
      <c r="C50" s="634"/>
      <c r="D50" s="634"/>
      <c r="E50" s="634"/>
      <c r="F50" s="634"/>
      <c r="G50" s="634"/>
      <c r="H50" s="634"/>
      <c r="I50" s="634"/>
      <c r="J50" s="634"/>
      <c r="K50" s="634"/>
      <c r="M50" s="634"/>
      <c r="N50" s="634"/>
      <c r="O50" s="634"/>
    </row>
  </sheetData>
  <sheetProtection algorithmName="SHA-512" hashValue="AWe1t+SN2zjTIVf6xINJk8yiD2t8xRXkmFE0Zxhdn5EL2exItJsFVAgmmX18Ci2AmP+QWu3GdYP9VxxKcmXZbg==" saltValue="ulXHFu43wKsqNIeVqRoz8w==" spinCount="100000" sheet="1" objects="1" scenarios="1"/>
  <mergeCells count="2">
    <mergeCell ref="C1:F1"/>
    <mergeCell ref="B11:F11"/>
  </mergeCells>
  <conditionalFormatting sqref="M37:N37">
    <cfRule type="cellIs" dxfId="39" priority="25" operator="lessThan">
      <formula>0</formula>
    </cfRule>
    <cfRule type="cellIs" dxfId="38" priority="26" operator="greaterThan">
      <formula>0</formula>
    </cfRule>
  </conditionalFormatting>
  <conditionalFormatting sqref="M46:N46">
    <cfRule type="cellIs" dxfId="37" priority="11" operator="lessThan">
      <formula>0</formula>
    </cfRule>
    <cfRule type="cellIs" dxfId="36" priority="12" operator="greaterThan">
      <formula>0</formula>
    </cfRule>
  </conditionalFormatting>
  <conditionalFormatting sqref="O32:O36">
    <cfRule type="cellIs" dxfId="35" priority="21" operator="lessThan">
      <formula>0</formula>
    </cfRule>
    <cfRule type="cellIs" dxfId="34" priority="22" operator="greaterThan">
      <formula>0</formula>
    </cfRule>
  </conditionalFormatting>
  <conditionalFormatting sqref="O41:O45">
    <cfRule type="cellIs" dxfId="33" priority="2" operator="lessThan">
      <formula>0</formula>
    </cfRule>
    <cfRule type="cellIs" dxfId="32" priority="3" operator="greaterThan">
      <formula>0</formula>
    </cfRule>
  </conditionalFormatting>
  <conditionalFormatting sqref="O32:P36">
    <cfRule type="cellIs" dxfId="31" priority="20" operator="equal">
      <formula>""</formula>
    </cfRule>
  </conditionalFormatting>
  <conditionalFormatting sqref="O41:P45">
    <cfRule type="cellIs" dxfId="30" priority="1" operator="equal">
      <formula>""</formula>
    </cfRule>
  </conditionalFormatting>
  <conditionalFormatting sqref="P32:P36">
    <cfRule type="cellIs" dxfId="29" priority="23" operator="greaterThan">
      <formula>0</formula>
    </cfRule>
    <cfRule type="cellIs" dxfId="28" priority="24" operator="lessThan">
      <formula>0</formula>
    </cfRule>
  </conditionalFormatting>
  <conditionalFormatting sqref="P41:P45">
    <cfRule type="cellIs" dxfId="27" priority="4" operator="greaterThan">
      <formula>0</formula>
    </cfRule>
    <cfRule type="cellIs" dxfId="26" priority="5" operator="lessThan">
      <formula>0</formula>
    </cfRule>
  </conditionalFormatting>
  <printOptions horizontalCentered="1"/>
  <pageMargins left="0.70866141732283472" right="0.70866141732283472" top="0.74803149606299213" bottom="0.74803149606299213" header="0.31496062992125984" footer="0.31496062992125984"/>
  <pageSetup paperSize="9" scale="59"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0B91166-1C83-4043-BE34-3E0AF09E8EB2}">
          <x14:formula1>
            <xm:f>'NOP Tool lookups'!$A$29:$A$34</xm:f>
          </x14:formula1>
          <xm:sqref>I23 I32 I41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FB3A0-F069-4841-B2B8-D8346BCFE8F5}">
  <sheetPr codeName="Sheet7">
    <pageSetUpPr fitToPage="1"/>
  </sheetPr>
  <dimension ref="A1:AU70"/>
  <sheetViews>
    <sheetView zoomScale="55" zoomScaleNormal="55" workbookViewId="0">
      <selection sqref="A1:K1"/>
    </sheetView>
  </sheetViews>
  <sheetFormatPr baseColWidth="10" defaultColWidth="9.1640625" defaultRowHeight="15" x14ac:dyDescent="0.2"/>
  <cols>
    <col min="1" max="1" width="7.83203125" style="56" customWidth="1"/>
    <col min="2" max="3" width="22" style="56" customWidth="1"/>
    <col min="4" max="4" width="37.83203125" style="56" customWidth="1"/>
    <col min="5" max="5" width="2.1640625" style="56" customWidth="1"/>
    <col min="6" max="6" width="12.33203125" style="56" customWidth="1"/>
    <col min="7" max="8" width="8.33203125" style="56" customWidth="1"/>
    <col min="9" max="9" width="15.5" style="56" customWidth="1"/>
    <col min="10" max="10" width="12.33203125" style="56" customWidth="1"/>
    <col min="11" max="11" width="15.6640625" style="56" customWidth="1"/>
    <col min="12" max="12" width="3.6640625" style="56" customWidth="1"/>
    <col min="13" max="13" width="35.5" style="56" customWidth="1"/>
    <col min="14" max="15" width="12.33203125" style="57" customWidth="1"/>
    <col min="16" max="16" width="8.5" style="57" customWidth="1"/>
    <col min="17" max="17" width="9.6640625" style="57" customWidth="1"/>
    <col min="18" max="19" width="8.5" style="57" customWidth="1"/>
    <col min="20" max="22" width="8.5" style="56" customWidth="1"/>
    <col min="23" max="24" width="9.1640625" style="56" customWidth="1"/>
    <col min="25" max="25" width="23.33203125" style="56" customWidth="1"/>
    <col min="26" max="27" width="9.1640625" style="56" customWidth="1"/>
    <col min="28" max="28" width="12.83203125" style="56" customWidth="1"/>
    <col min="29" max="30" width="13.1640625" style="56" customWidth="1"/>
    <col min="31" max="31" width="14.6640625" style="56" customWidth="1"/>
    <col min="32" max="33" width="25.1640625" style="56" customWidth="1"/>
    <col min="34" max="34" width="11" style="56" customWidth="1"/>
    <col min="35" max="35" width="20.83203125" style="56" customWidth="1"/>
    <col min="36" max="36" width="25.1640625" style="76" customWidth="1"/>
    <col min="37" max="37" width="28.5" style="56" customWidth="1"/>
    <col min="38" max="38" width="18.83203125" style="76" customWidth="1"/>
    <col min="39" max="39" width="21.6640625" style="76" customWidth="1"/>
    <col min="40" max="40" width="9.1640625" style="56" customWidth="1"/>
    <col min="41" max="41" width="12.83203125" style="56" customWidth="1"/>
    <col min="42" max="42" width="14" style="56" customWidth="1"/>
    <col min="43" max="43" width="15.6640625" style="56" customWidth="1"/>
    <col min="44" max="44" width="9.1640625" style="56" customWidth="1"/>
    <col min="45" max="45" width="17.5" style="56" customWidth="1"/>
    <col min="46" max="47" width="9.1640625" style="56" customWidth="1"/>
    <col min="48" max="16384" width="9.1640625" style="56"/>
  </cols>
  <sheetData>
    <row r="1" spans="1:42" ht="24" x14ac:dyDescent="0.2">
      <c r="A1" s="262" t="s">
        <v>215</v>
      </c>
      <c r="B1" s="262"/>
      <c r="C1" s="262"/>
      <c r="D1" s="262"/>
      <c r="E1" s="262"/>
      <c r="F1" s="262"/>
      <c r="G1" s="262"/>
      <c r="H1" s="262"/>
      <c r="I1" s="262"/>
      <c r="J1" s="262"/>
      <c r="K1" s="262"/>
      <c r="O1" s="58"/>
      <c r="X1" s="59"/>
      <c r="Y1" s="59"/>
      <c r="Z1" s="59"/>
      <c r="AA1" s="59"/>
      <c r="AB1" s="59"/>
      <c r="AC1" s="59"/>
      <c r="AD1" s="59"/>
      <c r="AE1" s="59"/>
      <c r="AF1" s="59"/>
      <c r="AG1" s="59"/>
      <c r="AH1" s="59"/>
      <c r="AI1" s="59"/>
      <c r="AJ1" s="111"/>
      <c r="AK1" s="59"/>
      <c r="AN1" s="59"/>
      <c r="AO1" s="59"/>
      <c r="AP1" s="59"/>
    </row>
    <row r="2" spans="1:42" ht="87.75" customHeight="1" x14ac:dyDescent="0.2">
      <c r="A2" s="261" t="s">
        <v>211</v>
      </c>
      <c r="B2" s="261"/>
      <c r="C2" s="261"/>
      <c r="D2" s="261"/>
      <c r="E2" s="261"/>
      <c r="F2" s="261"/>
      <c r="G2" s="261"/>
      <c r="H2" s="261"/>
      <c r="I2" s="261"/>
      <c r="J2" s="261"/>
      <c r="K2" s="261"/>
      <c r="O2" s="58"/>
      <c r="X2" s="59"/>
      <c r="Y2" s="59"/>
      <c r="Z2" s="59"/>
      <c r="AA2" s="60" t="s">
        <v>127</v>
      </c>
      <c r="AB2" s="59"/>
      <c r="AC2" s="59"/>
      <c r="AD2" s="59"/>
      <c r="AE2" s="59"/>
      <c r="AF2" s="59"/>
      <c r="AG2" s="59"/>
      <c r="AH2" s="59"/>
      <c r="AI2" s="59"/>
      <c r="AJ2" s="111"/>
      <c r="AK2" s="59"/>
      <c r="AN2" s="59"/>
      <c r="AO2" s="59"/>
      <c r="AP2" s="59"/>
    </row>
    <row r="3" spans="1:42" x14ac:dyDescent="0.2">
      <c r="A3" s="267" t="s">
        <v>212</v>
      </c>
      <c r="B3" s="267"/>
      <c r="C3" s="267"/>
      <c r="D3" s="267"/>
      <c r="J3" s="59"/>
      <c r="X3" s="59"/>
      <c r="Y3" s="59"/>
      <c r="Z3" s="59"/>
      <c r="AB3" s="59"/>
      <c r="AC3" s="59"/>
      <c r="AD3" s="59"/>
      <c r="AE3" s="59"/>
      <c r="AF3" s="59"/>
      <c r="AG3" s="59"/>
      <c r="AH3" s="59"/>
      <c r="AI3" s="59"/>
      <c r="AJ3" s="111"/>
      <c r="AK3" s="59"/>
      <c r="AN3" s="59"/>
      <c r="AO3" s="59"/>
      <c r="AP3" s="59"/>
    </row>
    <row r="4" spans="1:42" x14ac:dyDescent="0.2">
      <c r="A4" s="267" t="s">
        <v>213</v>
      </c>
      <c r="B4" s="267"/>
      <c r="C4" s="267"/>
      <c r="D4" s="267"/>
      <c r="J4" s="59"/>
      <c r="X4" s="59"/>
      <c r="Y4" s="59"/>
      <c r="Z4" s="59"/>
      <c r="AA4" s="67" t="s">
        <v>128</v>
      </c>
      <c r="AB4" s="59"/>
      <c r="AC4" s="59"/>
      <c r="AD4" s="59"/>
      <c r="AE4" s="59"/>
      <c r="AF4" s="59"/>
      <c r="AG4" s="59"/>
      <c r="AH4" s="59"/>
      <c r="AI4" s="59"/>
      <c r="AJ4" s="111"/>
      <c r="AK4" s="59"/>
      <c r="AN4" s="59"/>
      <c r="AO4" s="59"/>
      <c r="AP4" s="59"/>
    </row>
    <row r="5" spans="1:42" x14ac:dyDescent="0.2">
      <c r="J5" s="59"/>
      <c r="M5" s="60"/>
      <c r="N5" s="60"/>
      <c r="O5" s="60"/>
      <c r="P5" s="60"/>
      <c r="Q5" s="60"/>
      <c r="R5" s="60"/>
      <c r="S5" s="60"/>
      <c r="T5" s="60"/>
      <c r="U5" s="60"/>
      <c r="V5" s="60"/>
      <c r="W5" s="60"/>
      <c r="X5" s="61"/>
      <c r="Y5" s="61"/>
      <c r="Z5" s="61"/>
      <c r="AA5" s="67" t="s">
        <v>60</v>
      </c>
      <c r="AB5" s="59"/>
      <c r="AC5" s="59"/>
      <c r="AD5" s="59"/>
      <c r="AE5" s="59"/>
      <c r="AF5" s="59"/>
      <c r="AG5" s="59"/>
      <c r="AH5" s="59"/>
      <c r="AI5" s="59"/>
      <c r="AJ5" s="111"/>
      <c r="AK5" s="59"/>
      <c r="AN5" s="59"/>
      <c r="AO5" s="59"/>
      <c r="AP5" s="59"/>
    </row>
    <row r="6" spans="1:42" x14ac:dyDescent="0.2">
      <c r="A6" s="264" t="s">
        <v>32</v>
      </c>
      <c r="B6" s="62" t="s">
        <v>25</v>
      </c>
      <c r="C6" s="239">
        <f>'1-FC and Land Use Inputs'!C8</f>
        <v>0</v>
      </c>
      <c r="D6" s="240"/>
      <c r="E6" s="63"/>
      <c r="J6" s="59"/>
      <c r="M6" s="60"/>
      <c r="N6" s="60"/>
      <c r="O6" s="60"/>
      <c r="P6" s="60"/>
      <c r="Q6" s="60"/>
      <c r="R6" s="60"/>
      <c r="S6" s="60"/>
      <c r="T6" s="60"/>
      <c r="U6" s="60"/>
      <c r="V6" s="60"/>
      <c r="W6" s="60"/>
      <c r="X6" s="61"/>
      <c r="Y6" s="61"/>
      <c r="Z6" s="61"/>
      <c r="AA6" s="67" t="s">
        <v>129</v>
      </c>
      <c r="AB6" s="59"/>
      <c r="AC6" s="59"/>
      <c r="AD6" s="59"/>
      <c r="AE6" s="59"/>
      <c r="AF6" s="59"/>
      <c r="AG6" s="59"/>
      <c r="AH6" s="59"/>
      <c r="AI6" s="59"/>
      <c r="AJ6" s="111"/>
      <c r="AK6" s="59"/>
      <c r="AN6" s="59"/>
      <c r="AO6" s="59"/>
      <c r="AP6" s="59"/>
    </row>
    <row r="7" spans="1:42" x14ac:dyDescent="0.2">
      <c r="A7" s="264"/>
      <c r="B7" s="62" t="s">
        <v>28</v>
      </c>
      <c r="C7" s="239">
        <f>'1-FC and Land Use Inputs'!C9</f>
        <v>0</v>
      </c>
      <c r="D7" s="240"/>
      <c r="E7" s="59"/>
      <c r="J7" s="59"/>
      <c r="M7" s="60"/>
      <c r="N7" s="60"/>
      <c r="O7" s="60"/>
      <c r="P7" s="60"/>
      <c r="Q7" s="60"/>
      <c r="R7" s="60"/>
      <c r="S7" s="60"/>
      <c r="T7" s="60"/>
      <c r="U7" s="60"/>
      <c r="V7" s="60"/>
      <c r="W7" s="60"/>
      <c r="X7" s="61"/>
      <c r="Y7" s="61"/>
      <c r="Z7" s="61"/>
      <c r="AA7" s="67" t="s">
        <v>5</v>
      </c>
      <c r="AB7" s="59"/>
      <c r="AC7" s="59"/>
      <c r="AD7" s="59"/>
      <c r="AE7" s="59"/>
      <c r="AF7" s="59"/>
      <c r="AG7" s="59"/>
      <c r="AH7" s="59"/>
      <c r="AI7" s="59"/>
      <c r="AJ7" s="111"/>
      <c r="AK7" s="59"/>
      <c r="AN7" s="59"/>
      <c r="AO7" s="59"/>
      <c r="AP7" s="59"/>
    </row>
    <row r="8" spans="1:42" x14ac:dyDescent="0.2">
      <c r="A8" s="264"/>
      <c r="B8" s="62" t="s">
        <v>26</v>
      </c>
      <c r="C8" s="239" t="str">
        <f>CONCATENATE('2-Productivity Inputs'!A26,", ",'1-FC and Land Use Inputs'!C14)</f>
        <v xml:space="preserve">Option 1 - HV + Bus Lane, </v>
      </c>
      <c r="D8" s="240"/>
      <c r="E8" s="59"/>
      <c r="J8" s="59"/>
      <c r="M8" s="60"/>
      <c r="N8" s="60"/>
      <c r="O8" s="60"/>
      <c r="P8" s="60"/>
      <c r="Q8" s="60"/>
      <c r="R8" s="60"/>
      <c r="S8" s="60"/>
      <c r="T8" s="60"/>
      <c r="U8" s="60"/>
      <c r="V8" s="60"/>
      <c r="W8" s="60"/>
      <c r="X8" s="61"/>
      <c r="Y8" s="61"/>
      <c r="Z8" s="61"/>
      <c r="AA8" s="67" t="s">
        <v>130</v>
      </c>
      <c r="AB8" s="59"/>
      <c r="AC8" s="59"/>
      <c r="AD8" s="59"/>
      <c r="AE8" s="59"/>
      <c r="AF8" s="59"/>
      <c r="AG8" s="59"/>
      <c r="AH8" s="59"/>
      <c r="AI8" s="59"/>
      <c r="AJ8" s="111"/>
      <c r="AK8" s="59"/>
      <c r="AN8" s="59"/>
      <c r="AO8" s="59"/>
      <c r="AP8" s="59"/>
    </row>
    <row r="9" spans="1:42" x14ac:dyDescent="0.2">
      <c r="A9" s="264"/>
      <c r="B9" s="62" t="s">
        <v>27</v>
      </c>
      <c r="C9" s="244">
        <f>'1-FC and Land Use Inputs'!C11</f>
        <v>0</v>
      </c>
      <c r="D9" s="245"/>
      <c r="E9" s="59"/>
      <c r="M9" s="60"/>
      <c r="N9" s="60"/>
      <c r="O9" s="60"/>
      <c r="P9" s="60"/>
      <c r="Q9" s="60"/>
      <c r="R9" s="60"/>
      <c r="S9" s="60"/>
      <c r="T9" s="60"/>
      <c r="U9" s="60"/>
      <c r="V9" s="60"/>
      <c r="W9" s="60"/>
      <c r="X9" s="61"/>
      <c r="Y9" s="61"/>
      <c r="Z9" s="61"/>
      <c r="AA9" s="67"/>
      <c r="AB9" s="59"/>
      <c r="AC9" s="59"/>
      <c r="AD9" s="59"/>
      <c r="AE9" s="59"/>
      <c r="AF9" s="59"/>
      <c r="AG9" s="59"/>
      <c r="AH9" s="59"/>
      <c r="AI9" s="59"/>
      <c r="AJ9" s="111"/>
      <c r="AK9" s="59"/>
      <c r="AN9" s="59"/>
      <c r="AO9" s="59"/>
      <c r="AP9" s="59"/>
    </row>
    <row r="10" spans="1:42" x14ac:dyDescent="0.2">
      <c r="A10" s="264"/>
      <c r="B10" s="62" t="s">
        <v>29</v>
      </c>
      <c r="C10" s="239">
        <f>'1-FC and Land Use Inputs'!C12</f>
        <v>0</v>
      </c>
      <c r="D10" s="240"/>
      <c r="E10" s="59"/>
      <c r="M10" s="60"/>
      <c r="N10" s="60"/>
      <c r="O10" s="60"/>
      <c r="P10" s="60"/>
      <c r="Q10" s="60"/>
      <c r="R10" s="60"/>
      <c r="S10" s="60"/>
      <c r="T10" s="60"/>
      <c r="U10" s="60"/>
      <c r="V10" s="60"/>
      <c r="W10" s="60"/>
      <c r="X10" s="61"/>
      <c r="Y10" s="61"/>
      <c r="Z10" s="61"/>
      <c r="AA10" s="67" t="s">
        <v>85</v>
      </c>
      <c r="AB10" s="59"/>
      <c r="AC10" s="59"/>
      <c r="AD10" s="59"/>
      <c r="AE10" s="59"/>
      <c r="AF10" s="59"/>
      <c r="AG10" s="59"/>
      <c r="AH10" s="59"/>
      <c r="AI10" s="59"/>
      <c r="AJ10" s="111"/>
      <c r="AK10" s="59"/>
      <c r="AN10" s="59"/>
      <c r="AO10" s="59"/>
      <c r="AP10" s="59"/>
    </row>
    <row r="11" spans="1:42" x14ac:dyDescent="0.2">
      <c r="A11" s="64"/>
      <c r="C11" s="76"/>
      <c r="D11" s="76"/>
      <c r="M11" s="60"/>
      <c r="X11" s="61"/>
      <c r="Y11" s="61"/>
      <c r="Z11" s="61"/>
      <c r="AA11" s="67" t="s">
        <v>86</v>
      </c>
      <c r="AB11" s="59"/>
      <c r="AC11" s="60"/>
      <c r="AD11" s="60"/>
      <c r="AE11" s="60"/>
      <c r="AF11" s="60"/>
      <c r="AG11" s="60"/>
      <c r="AH11" s="60"/>
      <c r="AI11" s="60"/>
      <c r="AJ11" s="68"/>
      <c r="AK11" s="60"/>
      <c r="AL11" s="68"/>
      <c r="AM11" s="68"/>
      <c r="AN11" s="59"/>
      <c r="AO11" s="59"/>
      <c r="AP11" s="59"/>
    </row>
    <row r="12" spans="1:42" ht="39" customHeight="1" x14ac:dyDescent="0.2">
      <c r="C12" s="242" t="s">
        <v>131</v>
      </c>
      <c r="D12" s="243"/>
      <c r="F12" s="120" t="s">
        <v>199</v>
      </c>
      <c r="H12" s="59"/>
      <c r="I12" s="59"/>
      <c r="M12" s="60"/>
      <c r="X12" s="61"/>
      <c r="Y12" s="61"/>
      <c r="Z12" s="61"/>
      <c r="AA12" s="59"/>
      <c r="AB12" s="65" t="s">
        <v>187</v>
      </c>
      <c r="AC12" s="65" t="s">
        <v>188</v>
      </c>
      <c r="AD12" s="65" t="s">
        <v>189</v>
      </c>
      <c r="AE12" s="65" t="s">
        <v>190</v>
      </c>
      <c r="AF12" s="112" t="s">
        <v>191</v>
      </c>
      <c r="AG12" s="136" t="s">
        <v>134</v>
      </c>
      <c r="AH12" s="65" t="s">
        <v>164</v>
      </c>
      <c r="AI12" s="112" t="s">
        <v>192</v>
      </c>
      <c r="AJ12" s="65" t="s">
        <v>194</v>
      </c>
      <c r="AK12" s="112" t="s">
        <v>198</v>
      </c>
      <c r="AL12" s="112" t="s">
        <v>206</v>
      </c>
      <c r="AM12" s="65"/>
      <c r="AN12" s="111"/>
      <c r="AO12" s="111"/>
      <c r="AP12" s="59"/>
    </row>
    <row r="13" spans="1:42" ht="14.5" customHeight="1" x14ac:dyDescent="0.2">
      <c r="A13" s="264" t="s">
        <v>33</v>
      </c>
      <c r="B13" s="66" t="s">
        <v>6</v>
      </c>
      <c r="C13" s="239" t="str">
        <f>'1-FC and Land Use Inputs'!C18</f>
        <v>Secondary</v>
      </c>
      <c r="D13" s="241"/>
      <c r="F13" s="98"/>
      <c r="H13" s="59"/>
      <c r="I13" s="59"/>
      <c r="M13" s="60"/>
      <c r="X13" s="61"/>
      <c r="Y13" s="61"/>
      <c r="Z13" s="61"/>
      <c r="AA13" s="67" t="s">
        <v>6</v>
      </c>
      <c r="AB13" s="68" t="str">
        <f>IF($D$50="Yes",F13,_xlfn.XLOOKUP(C13,'NOP Tool lookups'!$Y$4:$Y$7,'NOP Tool lookups'!$AB$4:$AB$7))</f>
        <v>C</v>
      </c>
      <c r="AC13" s="68" t="str">
        <f>_xlfn.XLOOKUP(AD13,'NOP Tool lookups'!$J$23:$J$30,'NOP Tool lookups'!$I$23:$I$30)</f>
        <v>C</v>
      </c>
      <c r="AD13" s="68">
        <f>_xlfn.XLOOKUP(AB13,'NOP Tool lookups'!$I$23:$I$30,'NOP Tool lookups'!$J$23:$J$30)</f>
        <v>4</v>
      </c>
      <c r="AE13" s="68">
        <f>IF(C23="",0,_xlfn.XLOOKUP(C23,'NOP Tool lookups'!$I$23:$I$30,'NOP Tool lookups'!$J$23:$J$30,0))</f>
        <v>3</v>
      </c>
      <c r="AF13" s="76">
        <f>IF(AE13&lt;$AD13,$AD13-AE13,0)</f>
        <v>1</v>
      </c>
      <c r="AG13" s="68">
        <f>IF(LEN($D23)=1,_xlfn.XLOOKUP(D23,'NOP Tool lookups'!$I$23:$I$30,'NOP Tool lookups'!$J$23:$J$30),IF(D23="",0,_xlfn.XLOOKUP(D23,'NOP Tool lookups'!$A$23:$A$28,'NOP Tool lookups'!$B$23:$B$28,0))*2+AE13)</f>
        <v>3</v>
      </c>
      <c r="AH13" s="68">
        <f>IF(AG13&lt;0,0,IF(AG13&gt;6,6,AG13))</f>
        <v>3</v>
      </c>
      <c r="AI13" s="76">
        <f>IF(AH13&lt;$AD13,$AD13-AG13,0)</f>
        <v>1</v>
      </c>
      <c r="AJ13" s="68">
        <f>AF13-AI13</f>
        <v>0</v>
      </c>
      <c r="AK13" s="76">
        <f>IF(AG13-AE13&gt;0,1,0)</f>
        <v>0</v>
      </c>
      <c r="AL13" s="76">
        <f>IF(AG13-AE13&lt;0,1,0)</f>
        <v>0</v>
      </c>
      <c r="AM13" s="68"/>
      <c r="AN13" s="59"/>
      <c r="AO13" s="59"/>
      <c r="AP13" s="59"/>
    </row>
    <row r="14" spans="1:42" ht="15.75" customHeight="1" x14ac:dyDescent="0.2">
      <c r="A14" s="264"/>
      <c r="B14" s="66" t="s">
        <v>34</v>
      </c>
      <c r="C14" s="239" t="str">
        <f>'1-FC and Land Use Inputs'!C19</f>
        <v>Connector</v>
      </c>
      <c r="D14" s="241"/>
      <c r="F14" s="98"/>
      <c r="H14" s="59"/>
      <c r="I14" s="59"/>
      <c r="M14" s="60"/>
      <c r="X14" s="61"/>
      <c r="Y14" s="61"/>
      <c r="Z14" s="61"/>
      <c r="AA14" s="67" t="s">
        <v>34</v>
      </c>
      <c r="AB14" s="68" t="str">
        <f>IF($D$50="Yes",F14,_xlfn.XLOOKUP(C14,'NOP Tool lookups'!$A$4:$A$10,'NOP Tool lookups'!$E$4:$E$10))</f>
        <v>C</v>
      </c>
      <c r="AC14" s="68" t="str">
        <f>_xlfn.XLOOKUP(AD14,'NOP Tool lookups'!$J$23:$J$30,'NOP Tool lookups'!$I$23:$I$30)</f>
        <v>C</v>
      </c>
      <c r="AD14" s="68">
        <f>_xlfn.XLOOKUP(AB14,'NOP Tool lookups'!$I$23:$I$30,'NOP Tool lookups'!$J$23:$J$30)</f>
        <v>4</v>
      </c>
      <c r="AE14" s="68">
        <f>IF(C24="",0,_xlfn.XLOOKUP(C24,'NOP Tool lookups'!$I$24:$I$30,'NOP Tool lookups'!$J$24:$J$30,0))</f>
        <v>4</v>
      </c>
      <c r="AF14" s="76">
        <f t="shared" ref="AF14:AF17" si="0">IF(AE14&lt;$AD14,$AD14-AE14,0)</f>
        <v>0</v>
      </c>
      <c r="AG14" s="68">
        <f>IF(LEN($D24)=1,_xlfn.XLOOKUP(D24,'NOP Tool lookups'!$I$23:$I$30,'NOP Tool lookups'!$J$23:$J$30),IF(D24="",0,_xlfn.XLOOKUP(D24,'NOP Tool lookups'!$A$23:$A$28,'NOP Tool lookups'!$B$23:$B$28,0))*2+AE14)</f>
        <v>4</v>
      </c>
      <c r="AH14" s="68">
        <f>IF(AG14&lt;0,0,IF(AG14&gt;6,6,AG14))</f>
        <v>4</v>
      </c>
      <c r="AI14" s="76">
        <f>IF(AH14&lt;$AD14,$AD14-AG14,0)</f>
        <v>0</v>
      </c>
      <c r="AJ14" s="68">
        <f>AF14-AI14</f>
        <v>0</v>
      </c>
      <c r="AK14" s="76">
        <f>IF(AG14-AE14&gt;0,1,0)</f>
        <v>0</v>
      </c>
      <c r="AL14" s="76">
        <f>IF(AG14-AE14&lt;0,1,0)</f>
        <v>0</v>
      </c>
      <c r="AM14" s="68"/>
      <c r="AN14" s="59"/>
      <c r="AO14" s="59"/>
      <c r="AP14" s="59"/>
    </row>
    <row r="15" spans="1:42" x14ac:dyDescent="0.2">
      <c r="A15" s="264"/>
      <c r="B15" s="66" t="s">
        <v>4</v>
      </c>
      <c r="C15" s="239" t="str">
        <f>'1-FC and Land Use Inputs'!C20</f>
        <v>Frequent Transit Network</v>
      </c>
      <c r="D15" s="241"/>
      <c r="F15" s="98"/>
      <c r="H15" s="59"/>
      <c r="I15" s="59"/>
      <c r="M15" s="60"/>
      <c r="X15" s="61"/>
      <c r="Y15" s="61"/>
      <c r="Z15" s="61"/>
      <c r="AA15" s="67" t="s">
        <v>4</v>
      </c>
      <c r="AB15" s="68" t="str">
        <f>IF($D$50="Yes",F15,_xlfn.XLOOKUP(C15,'NOP Tool lookups'!$G$4:$G$11,'NOP Tool lookups'!$K$4:$K$11))</f>
        <v>C</v>
      </c>
      <c r="AC15" s="68" t="str">
        <f>_xlfn.XLOOKUP(AD15,'NOP Tool lookups'!$J$23:$J$30,'NOP Tool lookups'!$I$23:$I$30)</f>
        <v>C</v>
      </c>
      <c r="AD15" s="68">
        <f>_xlfn.XLOOKUP(AB15,'NOP Tool lookups'!$I$23:$I$30,'NOP Tool lookups'!$J$23:$J$30)</f>
        <v>4</v>
      </c>
      <c r="AE15" s="68">
        <f>IF(C25="",0,_xlfn.XLOOKUP(C25,'NOP Tool lookups'!$I$24:$I$30,'NOP Tool lookups'!$J$24:$J$30,0))</f>
        <v>2</v>
      </c>
      <c r="AF15" s="76">
        <f t="shared" si="0"/>
        <v>2</v>
      </c>
      <c r="AG15" s="68">
        <f>IF(LEN($D25)=1,_xlfn.XLOOKUP(D25,'NOP Tool lookups'!$I$23:$I$30,'NOP Tool lookups'!$J$23:$J$30),IF(D25="",0,_xlfn.XLOOKUP(D25,'NOP Tool lookups'!$A$23:$A$28,'NOP Tool lookups'!$B$23:$B$28,0))*2+AE15)</f>
        <v>3</v>
      </c>
      <c r="AH15" s="68">
        <f>IF(AG15&lt;0,0,IF(AG15&gt;6,6,AG15))</f>
        <v>3</v>
      </c>
      <c r="AI15" s="76">
        <f>IF(AH15&lt;$AD15,$AD15-AG15,0)</f>
        <v>1</v>
      </c>
      <c r="AJ15" s="68">
        <f>AF15-AI15</f>
        <v>1</v>
      </c>
      <c r="AK15" s="76">
        <f>IF(AG15-AE15&gt;0,1,0)</f>
        <v>1</v>
      </c>
      <c r="AL15" s="76">
        <f>IF(AG15-AE15&lt;0,1,0)</f>
        <v>0</v>
      </c>
      <c r="AM15" s="68"/>
      <c r="AN15" s="59"/>
      <c r="AO15" s="59"/>
      <c r="AP15" s="59"/>
    </row>
    <row r="16" spans="1:42" ht="15" customHeight="1" x14ac:dyDescent="0.2">
      <c r="A16" s="264"/>
      <c r="B16" s="66" t="s">
        <v>5</v>
      </c>
      <c r="C16" s="239" t="str">
        <f>'1-FC and Land Use Inputs'!C21</f>
        <v>Level 1B</v>
      </c>
      <c r="D16" s="241"/>
      <c r="F16" s="98"/>
      <c r="H16" s="59"/>
      <c r="I16" s="59"/>
      <c r="M16" s="60"/>
      <c r="X16" s="61"/>
      <c r="Y16" s="61"/>
      <c r="Z16" s="61"/>
      <c r="AA16" s="67" t="s">
        <v>5</v>
      </c>
      <c r="AB16" s="68" t="str">
        <f>IF($D$50="Yes",F16,_xlfn.XLOOKUP(C16,'NOP Tool lookups'!$M$4:$M$11,'NOP Tool lookups'!$Q$4:$Q$11))</f>
        <v>C</v>
      </c>
      <c r="AC16" s="68" t="str">
        <f>_xlfn.XLOOKUP(AD16,'NOP Tool lookups'!$J$23:$J$30,'NOP Tool lookups'!$I$23:$I$30)</f>
        <v>C</v>
      </c>
      <c r="AD16" s="68">
        <f>IF($D$50="Yes",_xlfn.XLOOKUP(AB16,'NOP Tool lookups'!$I$23:$I$30,'NOP Tool lookups'!$J$23:$J$30),_xlfn.XLOOKUP(AB16,'NOP Tool lookups'!$I$23:$I$30,'NOP Tool lookups'!$J$23:$J$30)+_xlfn.XLOOKUP($C$18,'NOP Tool lookups'!$AD$4:$AD$15,'NOP Tool lookups'!$AF$4:$AF$15))</f>
        <v>4</v>
      </c>
      <c r="AE16" s="68">
        <f>IF(C26="",0,_xlfn.XLOOKUP(C26,'NOP Tool lookups'!$I$24:$I$30,'NOP Tool lookups'!$J$24:$J$30,0))</f>
        <v>4</v>
      </c>
      <c r="AF16" s="76">
        <f t="shared" si="0"/>
        <v>0</v>
      </c>
      <c r="AG16" s="68">
        <f>IF(LEN($D26)=1,_xlfn.XLOOKUP(D26,'NOP Tool lookups'!$I$23:$I$30,'NOP Tool lookups'!$J$23:$J$30),IF(D26="",0,_xlfn.XLOOKUP(D26,'NOP Tool lookups'!$A$23:$A$28,'NOP Tool lookups'!$B$23:$B$28,0))*2+AE16)</f>
        <v>4</v>
      </c>
      <c r="AH16" s="68">
        <f>IF(AG16&lt;0,0,IF(AG16&gt;6,6,AG16))</f>
        <v>4</v>
      </c>
      <c r="AI16" s="76">
        <f>IF(AH16&lt;$AD16,$AD16-AG16,0)</f>
        <v>0</v>
      </c>
      <c r="AJ16" s="68">
        <f>AF16-AI16</f>
        <v>0</v>
      </c>
      <c r="AK16" s="76">
        <f>IF(AG16-AE16&gt;0,1,0)</f>
        <v>0</v>
      </c>
      <c r="AL16" s="76">
        <f>IF(AG16-AE16&lt;0,1,0)</f>
        <v>0</v>
      </c>
      <c r="AM16" s="68"/>
      <c r="AN16" s="59"/>
      <c r="AO16" s="59"/>
      <c r="AP16" s="59"/>
    </row>
    <row r="17" spans="1:47" ht="15" customHeight="1" x14ac:dyDescent="0.2">
      <c r="A17" s="264"/>
      <c r="B17" s="66" t="s">
        <v>0</v>
      </c>
      <c r="C17" s="239" t="str">
        <f>'1-FC and Land Use Inputs'!C22</f>
        <v>Primary Arterial</v>
      </c>
      <c r="D17" s="241"/>
      <c r="F17" s="98"/>
      <c r="H17" s="59"/>
      <c r="I17" s="59"/>
      <c r="M17" s="60"/>
      <c r="X17" s="61"/>
      <c r="Y17" s="61"/>
      <c r="Z17" s="61"/>
      <c r="AA17" s="67" t="s">
        <v>0</v>
      </c>
      <c r="AB17" s="68" t="str">
        <f>IF($D$50="Yes",F17,_xlfn.XLOOKUP(C17,'NOP Tool lookups'!$S$4:$S$9,'NOP Tool lookups'!$W$4:$W$9))</f>
        <v>C</v>
      </c>
      <c r="AC17" s="68" t="str">
        <f>_xlfn.XLOOKUP(AD17,'NOP Tool lookups'!$J$23:$J$30,'NOP Tool lookups'!$I$23:$I$30)</f>
        <v>C</v>
      </c>
      <c r="AD17" s="68">
        <f>IF($D$50="Yes",_xlfn.XLOOKUP(AB17,'NOP Tool lookups'!$I$23:$I$30,'NOP Tool lookups'!$J$23:$J$30),_xlfn.XLOOKUP(AB17,'NOP Tool lookups'!$I$23:$I$30,'NOP Tool lookups'!$J$23:$J$30)+_xlfn.XLOOKUP($C$18,'NOP Tool lookups'!$AD$4:$AD$15,'NOP Tool lookups'!$AF$4:$AF$15))</f>
        <v>4</v>
      </c>
      <c r="AE17" s="68">
        <f>IF(C27="",0,_xlfn.XLOOKUP(C27,'NOP Tool lookups'!$I$24:$I$30,'NOP Tool lookups'!$J$24:$J$30,0))</f>
        <v>3</v>
      </c>
      <c r="AF17" s="76">
        <f t="shared" si="0"/>
        <v>1</v>
      </c>
      <c r="AG17" s="68">
        <f>IF(LEN($D27)=1,_xlfn.XLOOKUP(D27,'NOP Tool lookups'!$I$23:$I$30,'NOP Tool lookups'!$J$23:$J$30),IF(D27="",0,_xlfn.XLOOKUP(D27,'NOP Tool lookups'!$A$23:$A$28,'NOP Tool lookups'!$B$23:$B$28,0))*2+AE17)</f>
        <v>1</v>
      </c>
      <c r="AH17" s="68">
        <f>IF(AG17&lt;0,0,IF(AG17&gt;6,6,AG17))</f>
        <v>1</v>
      </c>
      <c r="AI17" s="76">
        <f>IF(AH17&lt;$AD17,$AD17-AG17,0)</f>
        <v>3</v>
      </c>
      <c r="AJ17" s="68">
        <f>AF17-AI17</f>
        <v>-2</v>
      </c>
      <c r="AK17" s="76">
        <f>IF(AG17-AE17&gt;0,1,0)</f>
        <v>0</v>
      </c>
      <c r="AL17" s="76">
        <f>IF(AG17-AE17&lt;0,1,0)</f>
        <v>1</v>
      </c>
      <c r="AM17" s="68"/>
      <c r="AN17" s="59"/>
      <c r="AO17" s="59"/>
      <c r="AP17" s="59"/>
    </row>
    <row r="18" spans="1:47" x14ac:dyDescent="0.2">
      <c r="A18" s="264"/>
      <c r="B18" s="66" t="s">
        <v>163</v>
      </c>
      <c r="C18" s="239" t="str">
        <f>'1-FC and Land Use Inputs'!C23</f>
        <v>Centre - Neighbourhood Centre Zone</v>
      </c>
      <c r="D18" s="241"/>
      <c r="H18" s="70"/>
      <c r="I18" s="70"/>
      <c r="J18" s="71"/>
      <c r="L18" s="59"/>
      <c r="M18" s="60"/>
      <c r="X18" s="61"/>
      <c r="Y18" s="61"/>
      <c r="Z18" s="61"/>
      <c r="AA18" s="67" t="s">
        <v>85</v>
      </c>
      <c r="AB18" s="68" t="e">
        <f>_xlfn.XLOOKUP(C18,'NOP Tool lookups'!Y9:Y12,'NOP Tool lookups'!AB9:AB12)</f>
        <v>#N/A</v>
      </c>
      <c r="AC18" s="68"/>
      <c r="AD18" s="68"/>
      <c r="AE18" s="68">
        <f>IF(C28="",0,_xlfn.XLOOKUP(C28,'NOP Tool lookups'!$I$24:$I$30,'NOP Tool lookups'!$J$24:$J$30,0))</f>
        <v>0</v>
      </c>
      <c r="AH18" s="68">
        <f>IF(D28="",0,_xlfn.XLOOKUP(D28,'NOP Tool lookups'!$I$23:$I$30,'NOP Tool lookups'!$J$23:$J$30,0))</f>
        <v>0</v>
      </c>
      <c r="AI18" s="60"/>
      <c r="AJ18" s="68"/>
      <c r="AL18" s="68"/>
      <c r="AM18" s="68"/>
      <c r="AN18" s="59"/>
      <c r="AO18" s="59"/>
      <c r="AP18" s="59"/>
    </row>
    <row r="19" spans="1:47" hidden="1" x14ac:dyDescent="0.2">
      <c r="A19" s="264"/>
      <c r="B19" s="66" t="s">
        <v>85</v>
      </c>
      <c r="C19" s="265" t="s">
        <v>84</v>
      </c>
      <c r="D19" s="266"/>
      <c r="H19" s="70"/>
      <c r="I19" s="70"/>
      <c r="J19" s="71"/>
      <c r="L19" s="59"/>
      <c r="M19" s="60"/>
      <c r="X19" s="61"/>
      <c r="Y19" s="61"/>
      <c r="Z19" s="61"/>
      <c r="AA19" s="67" t="s">
        <v>86</v>
      </c>
      <c r="AB19" s="68" t="e">
        <f>_xlfn.XLOOKUP(C19,'NOP Tool lookups'!Y10:Y13,'NOP Tool lookups'!AB10:AB13)</f>
        <v>#N/A</v>
      </c>
      <c r="AC19" s="68"/>
      <c r="AD19" s="68"/>
      <c r="AE19" s="68">
        <f>IF(C29="",0,_xlfn.XLOOKUP(C29,'NOP Tool lookups'!$I$24:$I$30,'NOP Tool lookups'!$J$24:$J$30,0))</f>
        <v>0</v>
      </c>
      <c r="AF19" s="68"/>
      <c r="AG19" s="68"/>
      <c r="AH19" s="68">
        <f>IF(D29="",0,_xlfn.XLOOKUP(D29,'NOP Tool lookups'!$I$23:$I$30,'NOP Tool lookups'!$J$23:$J$30,0))</f>
        <v>0</v>
      </c>
      <c r="AI19" s="60"/>
      <c r="AJ19" s="68"/>
      <c r="AL19" s="68"/>
      <c r="AM19" s="68"/>
      <c r="AN19" s="59"/>
      <c r="AO19" s="59"/>
      <c r="AP19" s="59"/>
    </row>
    <row r="20" spans="1:47" hidden="1" x14ac:dyDescent="0.2">
      <c r="A20" s="264"/>
      <c r="B20" s="66" t="s">
        <v>86</v>
      </c>
      <c r="C20" s="265" t="s">
        <v>84</v>
      </c>
      <c r="D20" s="266"/>
      <c r="H20" s="70"/>
      <c r="I20" s="70"/>
      <c r="J20" s="71"/>
      <c r="L20" s="59"/>
      <c r="M20" s="60"/>
      <c r="X20" s="61"/>
      <c r="Y20" s="61"/>
      <c r="Z20" s="61"/>
      <c r="AA20" s="67" t="s">
        <v>36</v>
      </c>
      <c r="AB20" s="59"/>
      <c r="AC20" s="60"/>
      <c r="AD20" s="67"/>
      <c r="AE20" s="68"/>
      <c r="AF20" s="68"/>
      <c r="AG20" s="68"/>
      <c r="AH20" s="69"/>
      <c r="AI20" s="60"/>
      <c r="AJ20" s="119"/>
      <c r="AL20" s="68"/>
      <c r="AM20" s="68"/>
      <c r="AN20" s="59"/>
      <c r="AO20" s="59"/>
    </row>
    <row r="21" spans="1:47" ht="14.5" customHeight="1" x14ac:dyDescent="0.2">
      <c r="H21" s="70"/>
      <c r="I21" s="71"/>
      <c r="J21" s="71"/>
      <c r="M21" s="60"/>
      <c r="X21" s="61"/>
      <c r="Y21" s="61"/>
      <c r="Z21" s="61"/>
      <c r="AA21" s="113" t="s">
        <v>193</v>
      </c>
      <c r="AB21" s="114"/>
      <c r="AC21" s="115"/>
      <c r="AD21" s="115"/>
      <c r="AE21" s="78"/>
      <c r="AF21" s="75">
        <f>SUM(AF13:AF20)</f>
        <v>4</v>
      </c>
      <c r="AG21" s="75"/>
      <c r="AH21" s="75"/>
      <c r="AI21" s="75">
        <f>SUM(AI13:AI20)</f>
        <v>5</v>
      </c>
      <c r="AJ21" s="118">
        <f>SUM(AJ13:AJ20)</f>
        <v>-1</v>
      </c>
      <c r="AK21" s="118">
        <f>SUM(AK13:AK20)</f>
        <v>1</v>
      </c>
      <c r="AL21" s="118">
        <f>SUM(AL13:AL20)</f>
        <v>1</v>
      </c>
      <c r="AM21"/>
      <c r="AN21"/>
      <c r="AO21" s="60"/>
      <c r="AP21" s="258" t="s">
        <v>135</v>
      </c>
      <c r="AQ21" s="258"/>
      <c r="AR21" s="60"/>
      <c r="AS21" s="59"/>
    </row>
    <row r="22" spans="1:47" ht="33.5" customHeight="1" x14ac:dyDescent="0.2">
      <c r="C22" s="102" t="s">
        <v>208</v>
      </c>
      <c r="D22" s="102" t="s">
        <v>207</v>
      </c>
      <c r="H22" s="70"/>
      <c r="I22" s="71"/>
      <c r="J22" s="72"/>
      <c r="K22" s="73"/>
      <c r="M22" s="60"/>
      <c r="X22" s="61"/>
      <c r="Y22" s="61"/>
      <c r="Z22" s="61"/>
      <c r="AA22" s="59"/>
      <c r="AB22" s="59"/>
      <c r="AC22" s="60"/>
      <c r="AD22"/>
      <c r="AE22"/>
      <c r="AF22"/>
      <c r="AG22"/>
      <c r="AH22"/>
      <c r="AI22"/>
      <c r="AJ22"/>
      <c r="AK22"/>
      <c r="AL22"/>
      <c r="AM22"/>
      <c r="AN22"/>
      <c r="AO22" s="60" t="s">
        <v>52</v>
      </c>
      <c r="AP22" s="60" t="s">
        <v>51</v>
      </c>
      <c r="AQ22" s="60"/>
    </row>
    <row r="23" spans="1:47" ht="16" x14ac:dyDescent="0.2">
      <c r="A23" s="264" t="s">
        <v>136</v>
      </c>
      <c r="B23" s="62" t="s">
        <v>6</v>
      </c>
      <c r="C23" s="138" t="str">
        <f>'1-FC and Land Use Inputs'!D27</f>
        <v>D</v>
      </c>
      <c r="D23" s="79" t="s">
        <v>24</v>
      </c>
      <c r="F23" s="103"/>
      <c r="G23" s="295" t="s">
        <v>54</v>
      </c>
      <c r="H23" s="296"/>
      <c r="I23" s="302" t="str">
        <f>_xlfn.XLOOKUP(AC45,'NOP Tool lookups'!$D$23:$D$25,'NOP Tool lookups'!$C$23:$C$25,"")</f>
        <v>Low likelihood of supporting the Auckland Network Operating Plan (ANOP) and Future Connect</v>
      </c>
      <c r="J23" s="303"/>
      <c r="K23" s="303"/>
      <c r="L23" s="303"/>
      <c r="M23" s="304"/>
      <c r="S23"/>
      <c r="T23"/>
      <c r="U23"/>
      <c r="V23"/>
      <c r="W23"/>
      <c r="X23"/>
      <c r="Y23"/>
      <c r="Z23"/>
      <c r="AA23"/>
      <c r="AB23" s="59"/>
      <c r="AC23" s="60"/>
      <c r="AD23"/>
      <c r="AE23"/>
      <c r="AF23"/>
      <c r="AG23"/>
      <c r="AH23"/>
      <c r="AI23"/>
      <c r="AJ23"/>
      <c r="AK23"/>
      <c r="AL23"/>
      <c r="AM23"/>
      <c r="AN23"/>
      <c r="AO23" s="61">
        <f>IF(AH13-AE13&lt;0,AE13-AH13,0)</f>
        <v>0</v>
      </c>
      <c r="AP23" s="61">
        <f>IF(AH13-AE13&gt;0,AH13-AE13,0)</f>
        <v>0</v>
      </c>
      <c r="AQ23" s="60"/>
    </row>
    <row r="24" spans="1:47" ht="15" customHeight="1" x14ac:dyDescent="0.2">
      <c r="A24" s="264"/>
      <c r="B24" s="62" t="s">
        <v>34</v>
      </c>
      <c r="C24" s="138" t="str">
        <f>'1-FC and Land Use Inputs'!D28</f>
        <v>C</v>
      </c>
      <c r="D24" s="79" t="s">
        <v>24</v>
      </c>
      <c r="F24" s="103"/>
      <c r="G24" s="297"/>
      <c r="H24" s="298"/>
      <c r="I24" s="305"/>
      <c r="J24" s="306"/>
      <c r="K24" s="306"/>
      <c r="L24" s="306"/>
      <c r="M24" s="307"/>
      <c r="S24"/>
      <c r="T24"/>
      <c r="U24"/>
      <c r="V24"/>
      <c r="W24"/>
      <c r="X24"/>
      <c r="Y24"/>
      <c r="Z24"/>
      <c r="AA24"/>
      <c r="AB24" s="59"/>
      <c r="AC24" s="60"/>
      <c r="AD24"/>
      <c r="AE24"/>
      <c r="AF24"/>
      <c r="AG24"/>
      <c r="AH24"/>
      <c r="AI24"/>
      <c r="AJ24"/>
      <c r="AK24"/>
      <c r="AL24"/>
      <c r="AM24"/>
      <c r="AN24"/>
      <c r="AO24" s="61">
        <f>IF(AH14-AE14&lt;0,AE14-AH14,0)</f>
        <v>0</v>
      </c>
      <c r="AP24" s="61">
        <f>IF(AH14-AE14&gt;0,AH14-AE14,0)</f>
        <v>0</v>
      </c>
      <c r="AQ24" s="60"/>
    </row>
    <row r="25" spans="1:47" ht="15" customHeight="1" x14ac:dyDescent="0.2">
      <c r="A25" s="264"/>
      <c r="B25" s="62" t="s">
        <v>4</v>
      </c>
      <c r="C25" s="138" t="str">
        <f>'1-FC and Land Use Inputs'!D29</f>
        <v>E</v>
      </c>
      <c r="D25" s="138" t="str">
        <f>'Productivity calcs'!I32</f>
        <v>D</v>
      </c>
      <c r="F25" s="103"/>
      <c r="G25" s="299"/>
      <c r="H25" s="300"/>
      <c r="I25" s="308"/>
      <c r="J25" s="309"/>
      <c r="K25" s="309"/>
      <c r="L25" s="309"/>
      <c r="M25" s="310"/>
      <c r="S25"/>
      <c r="T25"/>
      <c r="U25"/>
      <c r="V25"/>
      <c r="W25"/>
      <c r="X25"/>
      <c r="Y25"/>
      <c r="Z25"/>
      <c r="AA25"/>
      <c r="AB25" s="59"/>
      <c r="AC25" s="60"/>
      <c r="AD25"/>
      <c r="AE25"/>
      <c r="AF25"/>
      <c r="AG25"/>
      <c r="AH25"/>
      <c r="AI25"/>
      <c r="AJ25"/>
      <c r="AK25"/>
      <c r="AL25"/>
      <c r="AM25"/>
      <c r="AN25"/>
      <c r="AO25" s="61">
        <f>IF(AH15-AE15&lt;0,AE15-AH15,0)</f>
        <v>0</v>
      </c>
      <c r="AP25" s="61">
        <f>IF(AH15-AE15&gt;0,AH15-AE15,0)</f>
        <v>1</v>
      </c>
      <c r="AQ25" s="60"/>
    </row>
    <row r="26" spans="1:47" ht="15" customHeight="1" x14ac:dyDescent="0.2">
      <c r="A26" s="264"/>
      <c r="B26" s="62" t="s">
        <v>5</v>
      </c>
      <c r="C26" s="138" t="str">
        <f>'1-FC and Land Use Inputs'!D30</f>
        <v>C</v>
      </c>
      <c r="D26" s="138" t="str">
        <f>'Productivity calcs'!I33</f>
        <v>C</v>
      </c>
      <c r="F26" s="103"/>
      <c r="G26" s="301" t="s">
        <v>73</v>
      </c>
      <c r="H26" s="301"/>
      <c r="I26" s="301" t="s">
        <v>88</v>
      </c>
      <c r="J26" s="301"/>
      <c r="K26" s="301"/>
      <c r="L26" s="301"/>
      <c r="M26" s="301"/>
      <c r="X26" s="61"/>
      <c r="Y26" s="61"/>
      <c r="Z26" s="61"/>
      <c r="AA26" s="59"/>
      <c r="AB26" s="59"/>
      <c r="AC26" s="60"/>
      <c r="AD26"/>
      <c r="AE26"/>
      <c r="AF26"/>
      <c r="AG26"/>
      <c r="AH26"/>
      <c r="AI26"/>
      <c r="AJ26"/>
      <c r="AK26"/>
      <c r="AL26"/>
      <c r="AM26"/>
      <c r="AN26"/>
      <c r="AO26" s="61">
        <f>IF(AH16-AE16&lt;0,AE16-AH16,0)</f>
        <v>0</v>
      </c>
      <c r="AP26" s="61">
        <f>IF(AH16-AE16&gt;0,AH16-AE16,0)</f>
        <v>0</v>
      </c>
      <c r="AQ26" s="60"/>
    </row>
    <row r="27" spans="1:47" ht="16" x14ac:dyDescent="0.2">
      <c r="A27" s="264"/>
      <c r="B27" s="62" t="s">
        <v>0</v>
      </c>
      <c r="C27" s="138" t="str">
        <f>'1-FC and Land Use Inputs'!D31</f>
        <v>D</v>
      </c>
      <c r="D27" s="138" t="str">
        <f>'Productivity calcs'!I36</f>
        <v>F</v>
      </c>
      <c r="F27" s="103"/>
      <c r="G27" s="301"/>
      <c r="H27" s="301"/>
      <c r="I27" s="301"/>
      <c r="J27" s="301"/>
      <c r="K27" s="301"/>
      <c r="L27" s="301"/>
      <c r="M27" s="301"/>
      <c r="X27" s="61"/>
      <c r="Y27" s="61"/>
      <c r="Z27" s="61"/>
      <c r="AA27" s="59"/>
      <c r="AB27" s="59"/>
      <c r="AC27" s="60"/>
      <c r="AD27"/>
      <c r="AE27"/>
      <c r="AF27"/>
      <c r="AG27"/>
      <c r="AH27"/>
      <c r="AI27"/>
      <c r="AJ27"/>
      <c r="AK27"/>
      <c r="AL27"/>
      <c r="AM27"/>
      <c r="AN27"/>
      <c r="AO27" s="61">
        <f>IF(AH17-AE17&lt;0,AE17-AH17,0)</f>
        <v>2</v>
      </c>
      <c r="AP27" s="61">
        <f>IF(AH17-AE17&gt;0,AH17-AE17,0)</f>
        <v>0</v>
      </c>
      <c r="AQ27" s="60"/>
    </row>
    <row r="28" spans="1:47" hidden="1" x14ac:dyDescent="0.2">
      <c r="A28" s="264"/>
      <c r="B28" s="62" t="s">
        <v>137</v>
      </c>
      <c r="C28" s="79"/>
      <c r="D28" s="100"/>
      <c r="E28" s="60"/>
      <c r="F28" s="103"/>
      <c r="G28" s="60"/>
      <c r="H28" s="60"/>
      <c r="I28" s="60"/>
      <c r="J28" s="60"/>
      <c r="K28" s="60"/>
      <c r="L28" s="60"/>
      <c r="M28" s="60"/>
      <c r="X28" s="61"/>
      <c r="Y28" s="61"/>
      <c r="Z28" s="61"/>
      <c r="AA28" s="59"/>
      <c r="AB28" s="59"/>
      <c r="AC28" s="60"/>
      <c r="AD28"/>
      <c r="AE28"/>
      <c r="AF28"/>
      <c r="AG28"/>
      <c r="AH28"/>
      <c r="AI28"/>
      <c r="AJ28"/>
      <c r="AK28"/>
      <c r="AL28"/>
      <c r="AM28"/>
      <c r="AN28"/>
      <c r="AO28" s="124">
        <f t="shared" ref="AO28:AO29" si="1">IF(AN28-AE18&lt;0,AE18-AN28,0)</f>
        <v>0</v>
      </c>
      <c r="AP28" s="124">
        <f t="shared" ref="AP28:AP29" si="2">IF(AN28-AE18&gt;0,AN28-AE18,0)</f>
        <v>0</v>
      </c>
      <c r="AQ28" s="121"/>
    </row>
    <row r="29" spans="1:47" hidden="1" x14ac:dyDescent="0.2">
      <c r="A29" s="264"/>
      <c r="B29" s="62" t="s">
        <v>138</v>
      </c>
      <c r="C29" s="79"/>
      <c r="D29" s="100"/>
      <c r="E29" s="60"/>
      <c r="F29" s="103"/>
      <c r="G29" s="60"/>
      <c r="H29" s="60"/>
      <c r="I29" s="60"/>
      <c r="J29" s="60"/>
      <c r="K29" s="60"/>
      <c r="L29" s="60"/>
      <c r="M29" s="60"/>
      <c r="X29" s="61"/>
      <c r="Y29" s="61"/>
      <c r="Z29" s="61"/>
      <c r="AA29" s="59"/>
      <c r="AB29" s="59"/>
      <c r="AC29" s="60"/>
      <c r="AD29"/>
      <c r="AE29"/>
      <c r="AF29"/>
      <c r="AG29"/>
      <c r="AH29"/>
      <c r="AI29"/>
      <c r="AJ29"/>
      <c r="AK29"/>
      <c r="AL29"/>
      <c r="AM29"/>
      <c r="AN29"/>
      <c r="AO29" s="124">
        <f t="shared" si="1"/>
        <v>0</v>
      </c>
      <c r="AP29" s="124">
        <f t="shared" si="2"/>
        <v>0</v>
      </c>
      <c r="AQ29" s="121"/>
    </row>
    <row r="30" spans="1:47" hidden="1" x14ac:dyDescent="0.2">
      <c r="B30" s="60"/>
      <c r="C30" s="60"/>
      <c r="D30" s="60"/>
      <c r="E30" s="60"/>
      <c r="F30" s="60"/>
      <c r="G30" s="60"/>
      <c r="H30" s="60"/>
      <c r="I30" s="60"/>
      <c r="J30" s="60"/>
      <c r="K30" s="60"/>
      <c r="L30" s="60"/>
      <c r="M30" s="60"/>
      <c r="X30" s="61"/>
      <c r="Y30" s="61"/>
      <c r="Z30" s="61"/>
      <c r="AA30" s="59"/>
      <c r="AB30" s="59"/>
      <c r="AC30" s="60"/>
      <c r="AD30"/>
      <c r="AE30"/>
      <c r="AF30"/>
      <c r="AG30"/>
      <c r="AH30"/>
      <c r="AI30"/>
      <c r="AJ30"/>
      <c r="AK30"/>
      <c r="AL30"/>
      <c r="AM30"/>
      <c r="AN30"/>
      <c r="AO30" s="122"/>
      <c r="AP30" s="122"/>
      <c r="AQ30" s="122"/>
      <c r="AR30" s="68"/>
      <c r="AS30" s="76"/>
      <c r="AT30" s="59"/>
      <c r="AU30" s="59"/>
    </row>
    <row r="31" spans="1:47" x14ac:dyDescent="0.2">
      <c r="B31" s="60"/>
      <c r="C31" s="60"/>
      <c r="D31" s="60"/>
      <c r="E31" s="60"/>
      <c r="F31" s="60"/>
      <c r="G31" s="60"/>
      <c r="H31" s="60"/>
      <c r="I31" s="60"/>
      <c r="J31" s="60"/>
      <c r="K31" s="60"/>
      <c r="L31" s="60"/>
      <c r="M31" s="60"/>
      <c r="X31" s="61"/>
      <c r="Y31" s="61"/>
      <c r="Z31" s="61"/>
      <c r="AA31" s="59"/>
      <c r="AB31" s="59"/>
      <c r="AC31" s="60"/>
      <c r="AD31"/>
      <c r="AE31"/>
      <c r="AF31"/>
      <c r="AG31"/>
      <c r="AH31"/>
      <c r="AI31"/>
      <c r="AJ31"/>
      <c r="AK31"/>
      <c r="AL31"/>
      <c r="AM31"/>
      <c r="AN31"/>
      <c r="AO31" s="60"/>
      <c r="AP31" s="59"/>
      <c r="AQ31" s="59"/>
      <c r="AR31" s="59"/>
    </row>
    <row r="32" spans="1:47" ht="77.25" customHeight="1" x14ac:dyDescent="0.2">
      <c r="B32" s="74" t="s">
        <v>30</v>
      </c>
      <c r="C32" s="268" t="s">
        <v>216</v>
      </c>
      <c r="D32" s="269"/>
      <c r="E32" s="269"/>
      <c r="F32" s="269"/>
      <c r="G32" s="269"/>
      <c r="H32" s="269"/>
      <c r="I32" s="269"/>
      <c r="J32" s="269"/>
      <c r="K32" s="269"/>
      <c r="L32" s="269"/>
      <c r="M32" s="270"/>
      <c r="Q32" s="104"/>
      <c r="X32" s="61"/>
      <c r="Y32" s="61"/>
      <c r="Z32" s="61"/>
      <c r="AA32" s="59"/>
      <c r="AB32" s="59"/>
      <c r="AC32" s="60"/>
      <c r="AD32"/>
      <c r="AE32"/>
      <c r="AF32"/>
      <c r="AG32"/>
      <c r="AH32"/>
      <c r="AI32"/>
      <c r="AJ32"/>
      <c r="AK32"/>
      <c r="AL32"/>
      <c r="AM32"/>
      <c r="AN32"/>
      <c r="AO32" s="60"/>
      <c r="AP32" s="59"/>
      <c r="AQ32" s="59"/>
      <c r="AR32" s="59"/>
    </row>
    <row r="33" spans="2:44" ht="37.5" customHeight="1" x14ac:dyDescent="0.2">
      <c r="B33" s="74" t="s">
        <v>31</v>
      </c>
      <c r="C33" s="246"/>
      <c r="D33" s="247"/>
      <c r="E33" s="247"/>
      <c r="F33" s="247"/>
      <c r="G33" s="247"/>
      <c r="H33" s="247"/>
      <c r="I33" s="247"/>
      <c r="J33" s="247"/>
      <c r="K33" s="247"/>
      <c r="L33" s="247"/>
      <c r="M33" s="248"/>
      <c r="X33" s="61"/>
      <c r="Y33" s="61"/>
      <c r="Z33" s="61"/>
      <c r="AA33" s="59"/>
      <c r="AB33" s="59"/>
      <c r="AC33" s="60"/>
      <c r="AD33"/>
      <c r="AE33"/>
      <c r="AF33"/>
      <c r="AG33"/>
      <c r="AH33"/>
      <c r="AI33"/>
      <c r="AJ33"/>
      <c r="AK33"/>
      <c r="AL33"/>
      <c r="AM33"/>
      <c r="AN33"/>
      <c r="AO33" s="69"/>
      <c r="AP33" s="59"/>
      <c r="AQ33" s="59"/>
      <c r="AR33" s="59"/>
    </row>
    <row r="34" spans="2:44" x14ac:dyDescent="0.2">
      <c r="M34" s="60"/>
      <c r="X34" s="61"/>
      <c r="Y34" s="61"/>
      <c r="Z34" s="61"/>
      <c r="AA34" s="59"/>
      <c r="AB34" s="59"/>
      <c r="AC34" s="60"/>
      <c r="AD34"/>
      <c r="AE34"/>
      <c r="AF34"/>
      <c r="AG34"/>
      <c r="AH34"/>
      <c r="AI34"/>
      <c r="AJ34"/>
      <c r="AK34"/>
      <c r="AL34"/>
      <c r="AM34"/>
      <c r="AN34"/>
      <c r="AO34" s="59"/>
      <c r="AP34" s="59"/>
    </row>
    <row r="35" spans="2:44" hidden="1" x14ac:dyDescent="0.2">
      <c r="M35" s="60"/>
      <c r="X35" s="61"/>
      <c r="Y35" s="61"/>
      <c r="Z35" s="61"/>
      <c r="AA35" s="59"/>
      <c r="AB35" s="59"/>
      <c r="AC35" s="68"/>
      <c r="AD35"/>
      <c r="AE35"/>
      <c r="AF35"/>
      <c r="AG35"/>
      <c r="AH35"/>
      <c r="AI35"/>
      <c r="AJ35"/>
      <c r="AK35"/>
      <c r="AL35"/>
      <c r="AM35"/>
      <c r="AN35"/>
      <c r="AO35" s="59"/>
      <c r="AP35" s="59"/>
    </row>
    <row r="36" spans="2:44" hidden="1" x14ac:dyDescent="0.2">
      <c r="M36" s="60"/>
      <c r="X36" s="61"/>
      <c r="Y36" s="61"/>
      <c r="Z36" s="61"/>
      <c r="AA36" s="59"/>
      <c r="AB36" s="59"/>
      <c r="AC36" s="68"/>
      <c r="AD36"/>
      <c r="AE36"/>
      <c r="AF36"/>
      <c r="AG36"/>
      <c r="AH36"/>
      <c r="AI36"/>
      <c r="AJ36"/>
      <c r="AK36"/>
      <c r="AL36"/>
      <c r="AM36"/>
      <c r="AN36"/>
      <c r="AO36" s="59"/>
      <c r="AP36" s="59"/>
    </row>
    <row r="37" spans="2:44" hidden="1" x14ac:dyDescent="0.2">
      <c r="M37" s="60"/>
      <c r="X37" s="61"/>
      <c r="Y37" s="61"/>
      <c r="Z37" s="61"/>
      <c r="AA37" s="59"/>
      <c r="AB37" s="59"/>
      <c r="AC37" s="68"/>
      <c r="AD37"/>
      <c r="AE37"/>
      <c r="AF37"/>
      <c r="AG37"/>
      <c r="AH37"/>
      <c r="AI37"/>
      <c r="AJ37"/>
      <c r="AK37"/>
      <c r="AL37"/>
      <c r="AM37"/>
      <c r="AN37"/>
      <c r="AO37" s="123"/>
      <c r="AP37" s="123"/>
      <c r="AQ37" s="123"/>
    </row>
    <row r="38" spans="2:44" ht="30" customHeight="1" thickBot="1" x14ac:dyDescent="0.25">
      <c r="B38" s="263" t="s">
        <v>71</v>
      </c>
      <c r="C38" s="263"/>
      <c r="D38" s="263"/>
      <c r="E38" s="252" t="s">
        <v>72</v>
      </c>
      <c r="F38" s="253"/>
      <c r="G38" s="253"/>
      <c r="H38" s="253"/>
      <c r="I38" s="253"/>
      <c r="J38" s="253"/>
      <c r="K38" s="253"/>
      <c r="L38" s="254"/>
      <c r="M38" s="60"/>
      <c r="X38" s="61"/>
      <c r="Y38" s="61"/>
      <c r="Z38" s="61"/>
      <c r="AA38" s="59"/>
      <c r="AB38" s="59"/>
      <c r="AC38" s="60"/>
      <c r="AD38"/>
      <c r="AE38"/>
      <c r="AF38"/>
      <c r="AG38"/>
      <c r="AH38"/>
      <c r="AI38"/>
      <c r="AJ38"/>
      <c r="AK38"/>
      <c r="AL38"/>
      <c r="AM38"/>
      <c r="AN38"/>
      <c r="AO38"/>
      <c r="AP38"/>
      <c r="AQ38"/>
    </row>
    <row r="39" spans="2:44" ht="17.25" customHeight="1" x14ac:dyDescent="0.2">
      <c r="B39" s="286" t="str">
        <f>'NOP Tool lookups'!C22</f>
        <v>Future Connect Fit Assessment Result</v>
      </c>
      <c r="C39" s="287"/>
      <c r="D39" s="288"/>
      <c r="E39" s="249" t="s">
        <v>203</v>
      </c>
      <c r="F39" s="250"/>
      <c r="G39" s="250"/>
      <c r="H39" s="250"/>
      <c r="I39" s="250"/>
      <c r="J39" s="250"/>
      <c r="K39" s="251"/>
      <c r="L39" s="101" t="str">
        <f t="shared" ref="L39:L44" si="3">IF(AB39=1,"ü","û")</f>
        <v>û</v>
      </c>
      <c r="M39" s="60"/>
      <c r="X39" s="61"/>
      <c r="Y39" s="61"/>
      <c r="Z39" s="61"/>
      <c r="AA39" s="283" t="s">
        <v>195</v>
      </c>
      <c r="AB39" s="127">
        <f>IF(AK21&gt;0,IF(AL21=0,1,0),0)</f>
        <v>0</v>
      </c>
      <c r="AC39" s="128" t="str">
        <f>IF(AB39=1,"True","False")</f>
        <v>False</v>
      </c>
      <c r="AD39"/>
      <c r="AE39"/>
      <c r="AF39"/>
      <c r="AG39"/>
      <c r="AH39"/>
      <c r="AI39"/>
      <c r="AJ39"/>
      <c r="AK39"/>
      <c r="AL39"/>
      <c r="AM39"/>
      <c r="AN39"/>
      <c r="AO39"/>
      <c r="AP39"/>
      <c r="AQ39"/>
    </row>
    <row r="40" spans="2:44" ht="15.5" customHeight="1" x14ac:dyDescent="0.2">
      <c r="B40" s="289"/>
      <c r="C40" s="290"/>
      <c r="D40" s="291"/>
      <c r="E40" s="249" t="s">
        <v>204</v>
      </c>
      <c r="F40" s="250"/>
      <c r="G40" s="250"/>
      <c r="H40" s="250"/>
      <c r="I40" s="250"/>
      <c r="J40" s="250"/>
      <c r="K40" s="251"/>
      <c r="L40" s="101" t="str">
        <f t="shared" si="3"/>
        <v>û</v>
      </c>
      <c r="X40" s="61"/>
      <c r="Y40" s="61"/>
      <c r="Z40" s="61"/>
      <c r="AA40" s="284"/>
      <c r="AB40" s="134">
        <f>IF(AJ21&gt;0,1,0)</f>
        <v>0</v>
      </c>
      <c r="AC40" s="271" t="str">
        <f>IF(AB40+AB41=2,"True","False")</f>
        <v>False</v>
      </c>
      <c r="AD40"/>
      <c r="AE40"/>
      <c r="AF40"/>
      <c r="AG40"/>
      <c r="AH40"/>
      <c r="AI40"/>
      <c r="AJ40"/>
      <c r="AK40"/>
      <c r="AL40"/>
      <c r="AM40"/>
      <c r="AN40"/>
      <c r="AO40"/>
      <c r="AP40"/>
      <c r="AQ40"/>
    </row>
    <row r="41" spans="2:44" ht="15.5" customHeight="1" thickBot="1" x14ac:dyDescent="0.25">
      <c r="B41" s="292"/>
      <c r="C41" s="293"/>
      <c r="D41" s="294"/>
      <c r="E41" s="249" t="s">
        <v>202</v>
      </c>
      <c r="F41" s="250"/>
      <c r="G41" s="250"/>
      <c r="H41" s="250"/>
      <c r="I41" s="250"/>
      <c r="J41" s="250"/>
      <c r="K41" s="251"/>
      <c r="L41" s="101" t="str">
        <f t="shared" si="3"/>
        <v>û</v>
      </c>
      <c r="X41" s="61"/>
      <c r="Y41" s="61"/>
      <c r="Z41" s="61"/>
      <c r="AA41" s="285"/>
      <c r="AB41" s="129">
        <f>IF(MIN(AJ13:AJ17)&lt;0,0,1)</f>
        <v>0</v>
      </c>
      <c r="AC41" s="272"/>
      <c r="AD41"/>
      <c r="AE41"/>
      <c r="AF41"/>
      <c r="AG41"/>
      <c r="AH41"/>
      <c r="AI41"/>
      <c r="AJ41"/>
      <c r="AK41"/>
      <c r="AL41"/>
      <c r="AM41"/>
      <c r="AN41"/>
      <c r="AO41"/>
      <c r="AP41"/>
      <c r="AQ41"/>
    </row>
    <row r="42" spans="2:44" ht="14.5" customHeight="1" x14ac:dyDescent="0.2">
      <c r="B42" s="275" t="str">
        <f>'NOP Tool lookups'!$C$24</f>
        <v>Moderate likelihood of supporting the Auckland Network Operating Plan (ANOP) and Future Connect</v>
      </c>
      <c r="C42" s="276"/>
      <c r="D42" s="277"/>
      <c r="E42" s="249" t="s">
        <v>205</v>
      </c>
      <c r="F42" s="250"/>
      <c r="G42" s="250"/>
      <c r="H42" s="250"/>
      <c r="I42" s="250"/>
      <c r="J42" s="250"/>
      <c r="K42" s="251"/>
      <c r="L42" s="101" t="str">
        <f t="shared" si="3"/>
        <v>û</v>
      </c>
      <c r="X42" s="61"/>
      <c r="Y42" s="61"/>
      <c r="Z42" s="61"/>
      <c r="AA42" s="281" t="s">
        <v>196</v>
      </c>
      <c r="AB42" s="133">
        <f>AB40</f>
        <v>0</v>
      </c>
      <c r="AC42" s="135" t="str">
        <f>IF(AB42=1,"True","False")</f>
        <v>False</v>
      </c>
      <c r="AD42"/>
      <c r="AE42"/>
      <c r="AF42"/>
      <c r="AG42"/>
      <c r="AH42"/>
      <c r="AI42"/>
      <c r="AJ42"/>
      <c r="AK42"/>
      <c r="AL42"/>
      <c r="AM42"/>
      <c r="AN42"/>
      <c r="AO42"/>
      <c r="AP42"/>
      <c r="AQ42"/>
    </row>
    <row r="43" spans="2:44" ht="30" customHeight="1" thickBot="1" x14ac:dyDescent="0.25">
      <c r="B43" s="278"/>
      <c r="C43" s="279"/>
      <c r="D43" s="280"/>
      <c r="E43" s="249" t="s">
        <v>201</v>
      </c>
      <c r="F43" s="250"/>
      <c r="G43" s="250"/>
      <c r="H43" s="250"/>
      <c r="I43" s="250"/>
      <c r="J43" s="250"/>
      <c r="K43" s="251"/>
      <c r="L43" s="101" t="str">
        <f t="shared" si="3"/>
        <v>û</v>
      </c>
      <c r="X43" s="61"/>
      <c r="Y43" s="61"/>
      <c r="Z43" s="61"/>
      <c r="AA43" s="282"/>
      <c r="AB43" s="129">
        <f>IF(AJ21=0,IF(AK21&gt;0,1,0),0)</f>
        <v>0</v>
      </c>
      <c r="AC43" s="135" t="str">
        <f>IF(AB43=1,"True","False")</f>
        <v>False</v>
      </c>
      <c r="AD43"/>
      <c r="AE43"/>
      <c r="AF43"/>
      <c r="AG43"/>
      <c r="AH43"/>
      <c r="AI43"/>
      <c r="AJ43"/>
      <c r="AK43"/>
      <c r="AL43"/>
      <c r="AM43"/>
      <c r="AN43"/>
      <c r="AO43"/>
      <c r="AP43"/>
      <c r="AQ43"/>
    </row>
    <row r="44" spans="2:44" ht="30.5" customHeight="1" thickBot="1" x14ac:dyDescent="0.25">
      <c r="B44" s="273" t="s">
        <v>76</v>
      </c>
      <c r="C44" s="273"/>
      <c r="D44" s="274"/>
      <c r="E44" s="255" t="s">
        <v>70</v>
      </c>
      <c r="F44" s="256"/>
      <c r="G44" s="256"/>
      <c r="H44" s="256"/>
      <c r="I44" s="256"/>
      <c r="J44" s="256"/>
      <c r="K44" s="257"/>
      <c r="L44" s="101" t="str">
        <f t="shared" si="3"/>
        <v>ü</v>
      </c>
      <c r="X44" s="61"/>
      <c r="Y44" s="61"/>
      <c r="Z44" s="61"/>
      <c r="AA44" s="130" t="s">
        <v>197</v>
      </c>
      <c r="AB44" s="131">
        <f>IF(AC39="True",0,IF(AC40="True",0,IF(AC42="True",0,IF(AC43="True",0,1))))</f>
        <v>1</v>
      </c>
      <c r="AC44" s="132" t="str">
        <f>IF(AB44=1,"True","False")</f>
        <v>True</v>
      </c>
      <c r="AD44"/>
      <c r="AE44"/>
      <c r="AF44"/>
      <c r="AG44"/>
      <c r="AH44"/>
      <c r="AI44"/>
      <c r="AJ44"/>
      <c r="AK44"/>
      <c r="AL44"/>
      <c r="AM44"/>
      <c r="AN44"/>
      <c r="AO44"/>
      <c r="AP44"/>
      <c r="AQ44"/>
    </row>
    <row r="45" spans="2:44" ht="29.5" customHeight="1" x14ac:dyDescent="0.2">
      <c r="M45" s="60"/>
      <c r="N45" s="60"/>
      <c r="O45" s="60"/>
      <c r="P45" s="60"/>
      <c r="Q45" s="60"/>
      <c r="R45" s="60"/>
      <c r="X45" s="59"/>
      <c r="Y45" s="59"/>
      <c r="Z45" s="59"/>
      <c r="AA45" s="117"/>
      <c r="AB45" s="125" t="s">
        <v>124</v>
      </c>
      <c r="AC45" s="126" t="str">
        <f>IF(AC39="True","H",IF(AC40="True","H",IF(AC42="True","M",IF(AC43="True","M","L"))))</f>
        <v>L</v>
      </c>
      <c r="AD45"/>
      <c r="AE45"/>
      <c r="AF45"/>
      <c r="AG45"/>
      <c r="AH45"/>
      <c r="AI45"/>
      <c r="AJ45"/>
      <c r="AK45"/>
      <c r="AL45"/>
      <c r="AN45" s="59"/>
      <c r="AO45" s="59"/>
      <c r="AP45" s="59"/>
    </row>
    <row r="46" spans="2:44" ht="14.5" customHeight="1" x14ac:dyDescent="0.2">
      <c r="B46" s="259" t="s">
        <v>214</v>
      </c>
      <c r="C46" s="260"/>
      <c r="D46" s="260"/>
      <c r="M46" s="60"/>
      <c r="N46" s="60"/>
      <c r="O46" s="60"/>
      <c r="P46" s="60"/>
      <c r="Q46" s="60"/>
      <c r="R46" s="60"/>
      <c r="X46" s="59"/>
      <c r="Y46" s="59"/>
      <c r="Z46" s="59"/>
      <c r="AA46" s="59"/>
      <c r="AD46" s="59"/>
      <c r="AE46" s="59"/>
      <c r="AF46" s="59"/>
      <c r="AG46" s="59"/>
      <c r="AH46" s="59"/>
      <c r="AI46" s="59"/>
      <c r="AJ46" s="111"/>
      <c r="AK46" s="59"/>
      <c r="AN46" s="59"/>
      <c r="AO46" s="59"/>
      <c r="AP46" s="59"/>
    </row>
    <row r="47" spans="2:44" x14ac:dyDescent="0.2">
      <c r="B47" s="236" t="s">
        <v>210</v>
      </c>
      <c r="C47" s="237"/>
      <c r="D47" s="237"/>
      <c r="N47" s="60"/>
      <c r="O47" s="60"/>
      <c r="P47" s="60"/>
      <c r="Q47" s="60"/>
      <c r="R47" s="60"/>
      <c r="X47" s="59"/>
      <c r="Y47" s="59"/>
      <c r="Z47" s="59"/>
      <c r="AA47" s="59"/>
      <c r="AB47" s="59"/>
      <c r="AC47" s="59"/>
      <c r="AD47" s="59"/>
      <c r="AE47" s="59"/>
      <c r="AF47" s="59"/>
      <c r="AG47" s="59"/>
      <c r="AH47" s="59"/>
      <c r="AI47" s="59"/>
      <c r="AJ47" s="111"/>
      <c r="AK47" s="59"/>
      <c r="AN47" s="59"/>
      <c r="AO47" s="59"/>
      <c r="AP47" s="59"/>
    </row>
    <row r="48" spans="2:44" x14ac:dyDescent="0.2">
      <c r="B48" s="238" t="s">
        <v>209</v>
      </c>
      <c r="C48" s="238"/>
      <c r="D48" s="238"/>
      <c r="N48" s="60"/>
      <c r="O48" s="60"/>
      <c r="P48" s="60"/>
      <c r="Q48" s="60"/>
      <c r="R48" s="60"/>
      <c r="X48" s="59"/>
      <c r="Y48" s="59"/>
      <c r="Z48" s="59"/>
      <c r="AA48" s="59"/>
      <c r="AB48" s="59"/>
      <c r="AC48" s="59"/>
      <c r="AD48" s="59"/>
      <c r="AE48" s="59"/>
      <c r="AF48" s="59"/>
      <c r="AG48" s="59"/>
      <c r="AH48" s="59"/>
      <c r="AI48" s="59"/>
      <c r="AJ48" s="111"/>
      <c r="AK48" s="59"/>
      <c r="AN48" s="59"/>
      <c r="AO48" s="59"/>
      <c r="AP48" s="59"/>
    </row>
    <row r="49" spans="1:42" ht="14.5" customHeight="1" x14ac:dyDescent="0.2">
      <c r="N49" s="60"/>
      <c r="O49" s="60"/>
      <c r="P49" s="60"/>
      <c r="Q49" s="60"/>
      <c r="R49" s="60"/>
      <c r="X49" s="59"/>
      <c r="Y49" s="59"/>
      <c r="Z49" s="59"/>
      <c r="AA49" s="59"/>
      <c r="AB49" s="59"/>
      <c r="AC49" s="59"/>
      <c r="AD49" s="59"/>
      <c r="AE49" s="59"/>
      <c r="AF49" s="59"/>
      <c r="AG49" s="59"/>
      <c r="AH49" s="59"/>
      <c r="AI49" s="59"/>
      <c r="AJ49" s="111"/>
      <c r="AK49" s="59"/>
      <c r="AN49" s="59"/>
      <c r="AO49" s="59"/>
      <c r="AP49" s="59"/>
    </row>
    <row r="50" spans="1:42" ht="14.5" customHeight="1" x14ac:dyDescent="0.2">
      <c r="B50" s="80"/>
      <c r="C50" s="80" t="s">
        <v>200</v>
      </c>
      <c r="D50" s="99" t="s">
        <v>160</v>
      </c>
      <c r="N50" s="60"/>
      <c r="O50" s="60"/>
      <c r="P50" s="60"/>
      <c r="Q50" s="60"/>
      <c r="R50" s="60"/>
      <c r="X50" s="59"/>
      <c r="Y50" s="59"/>
      <c r="Z50" s="59"/>
      <c r="AA50" s="59"/>
      <c r="AB50" s="59"/>
      <c r="AC50" s="59"/>
      <c r="AD50" s="59"/>
      <c r="AE50" s="59"/>
      <c r="AF50" s="59"/>
      <c r="AG50" s="59"/>
      <c r="AH50" s="59"/>
      <c r="AI50" s="59"/>
      <c r="AJ50" s="111"/>
      <c r="AK50" s="59"/>
      <c r="AN50" s="59"/>
      <c r="AO50" s="59"/>
      <c r="AP50" s="59"/>
    </row>
    <row r="51" spans="1:42" x14ac:dyDescent="0.2">
      <c r="B51"/>
      <c r="C51"/>
      <c r="D51"/>
      <c r="E51"/>
      <c r="F51"/>
      <c r="G51"/>
      <c r="H51"/>
      <c r="I51"/>
      <c r="J51"/>
      <c r="K51"/>
      <c r="L51"/>
      <c r="X51" s="59"/>
      <c r="Y51" s="59"/>
      <c r="Z51" s="59"/>
      <c r="AA51" s="59"/>
      <c r="AB51" s="59"/>
      <c r="AC51" s="59"/>
      <c r="AD51" s="59"/>
      <c r="AE51" s="59"/>
      <c r="AF51" s="59"/>
      <c r="AG51" s="59"/>
      <c r="AH51" s="59"/>
      <c r="AI51" s="59"/>
      <c r="AJ51" s="111"/>
      <c r="AK51" s="59"/>
      <c r="AN51" s="59"/>
      <c r="AO51" s="59"/>
      <c r="AP51" s="59"/>
    </row>
    <row r="52" spans="1:42" x14ac:dyDescent="0.2">
      <c r="B52" s="73"/>
      <c r="C52" s="73"/>
      <c r="D52" s="73"/>
      <c r="E52" s="73"/>
      <c r="F52" s="73"/>
      <c r="G52" s="76"/>
      <c r="X52" s="59"/>
      <c r="Y52" s="59"/>
      <c r="Z52" s="59"/>
      <c r="AA52" s="59"/>
      <c r="AB52" s="59"/>
      <c r="AC52" s="59"/>
      <c r="AD52" s="59"/>
      <c r="AE52" s="59"/>
      <c r="AF52" s="59"/>
      <c r="AG52" s="59"/>
      <c r="AH52" s="59"/>
      <c r="AI52" s="59"/>
      <c r="AJ52" s="111"/>
      <c r="AK52" s="59"/>
      <c r="AN52" s="59"/>
      <c r="AO52" s="59"/>
      <c r="AP52" s="59"/>
    </row>
    <row r="53" spans="1:42" x14ac:dyDescent="0.2">
      <c r="B53" s="73"/>
      <c r="C53" s="73"/>
      <c r="D53" s="73"/>
      <c r="E53" s="73"/>
      <c r="F53" s="73"/>
      <c r="G53" s="76"/>
      <c r="M53"/>
      <c r="X53" s="59"/>
      <c r="Y53" s="59"/>
      <c r="Z53" s="59"/>
      <c r="AA53" s="59"/>
      <c r="AB53" s="59"/>
      <c r="AC53" s="59"/>
      <c r="AD53" s="59"/>
      <c r="AE53" s="59"/>
      <c r="AF53" s="59"/>
      <c r="AG53" s="59"/>
      <c r="AH53" s="59"/>
      <c r="AI53" s="59"/>
      <c r="AJ53" s="111"/>
      <c r="AK53" s="59"/>
      <c r="AN53" s="59"/>
      <c r="AO53" s="59"/>
      <c r="AP53" s="59"/>
    </row>
    <row r="54" spans="1:42" x14ac:dyDescent="0.2">
      <c r="B54" s="80"/>
      <c r="C54" s="81"/>
    </row>
    <row r="55" spans="1:42" ht="6" customHeight="1" x14ac:dyDescent="0.2">
      <c r="B55" s="80"/>
      <c r="C55" s="81"/>
      <c r="L55" s="58"/>
    </row>
    <row r="56" spans="1:42" x14ac:dyDescent="0.2">
      <c r="B56" s="80"/>
      <c r="C56" s="81"/>
      <c r="F56" s="76"/>
      <c r="G56" s="76"/>
      <c r="H56" s="76"/>
      <c r="I56" s="76"/>
      <c r="J56" s="76"/>
      <c r="K56" s="76"/>
      <c r="L56" s="77"/>
      <c r="X56" s="59"/>
      <c r="Y56" s="59"/>
      <c r="Z56" s="59"/>
      <c r="AA56" s="59"/>
      <c r="AB56" s="59"/>
      <c r="AC56" s="59"/>
      <c r="AD56" s="59"/>
      <c r="AE56" s="59"/>
      <c r="AF56" s="59"/>
      <c r="AG56" s="59"/>
      <c r="AH56" s="59"/>
      <c r="AI56" s="59"/>
      <c r="AJ56" s="111"/>
      <c r="AK56" s="59"/>
      <c r="AN56" s="59"/>
      <c r="AO56" s="59"/>
      <c r="AP56" s="59"/>
    </row>
    <row r="57" spans="1:42" customFormat="1" ht="6" customHeight="1" x14ac:dyDescent="0.2">
      <c r="B57" s="75"/>
      <c r="C57" s="75"/>
      <c r="D57" s="56"/>
      <c r="E57" s="56"/>
      <c r="F57" s="76"/>
      <c r="G57" s="76"/>
      <c r="H57" s="76"/>
      <c r="I57" s="76"/>
      <c r="J57" s="76"/>
      <c r="K57" s="76"/>
      <c r="L57" s="56"/>
      <c r="M57" s="58"/>
      <c r="AJ57" s="116"/>
      <c r="AL57" s="89"/>
      <c r="AM57" s="89"/>
    </row>
    <row r="58" spans="1:42" x14ac:dyDescent="0.2">
      <c r="A58" s="73"/>
      <c r="M58" s="77"/>
      <c r="N58" s="56"/>
      <c r="O58" s="56"/>
      <c r="P58" s="56"/>
      <c r="Q58" s="59"/>
      <c r="R58" s="59"/>
      <c r="S58" s="59"/>
      <c r="T58" s="59"/>
      <c r="U58" s="59"/>
      <c r="V58" s="59"/>
      <c r="W58" s="59"/>
      <c r="X58" s="59"/>
      <c r="Y58" s="59"/>
      <c r="Z58" s="59"/>
      <c r="AA58" s="59"/>
      <c r="AB58" s="59"/>
    </row>
    <row r="59" spans="1:42" x14ac:dyDescent="0.2">
      <c r="A59" s="73"/>
      <c r="B59" s="58"/>
      <c r="C59" s="58"/>
      <c r="D59" s="58"/>
      <c r="E59" s="58"/>
      <c r="F59" s="58"/>
      <c r="G59" s="58"/>
      <c r="H59" s="58"/>
      <c r="I59" s="58"/>
      <c r="J59" s="58"/>
      <c r="K59" s="58"/>
      <c r="N59" s="56"/>
      <c r="O59" s="56"/>
      <c r="P59" s="56"/>
      <c r="Q59" s="56"/>
      <c r="R59" s="56"/>
      <c r="S59" s="56"/>
    </row>
    <row r="60" spans="1:42" x14ac:dyDescent="0.2">
      <c r="B60" s="58"/>
      <c r="C60" s="58"/>
      <c r="D60" s="58"/>
      <c r="E60" s="58"/>
      <c r="F60" s="77"/>
      <c r="G60" s="77"/>
      <c r="H60" s="77"/>
      <c r="I60" s="77"/>
      <c r="J60" s="77"/>
      <c r="K60" s="77"/>
    </row>
    <row r="61" spans="1:42" x14ac:dyDescent="0.2">
      <c r="B61" s="78"/>
      <c r="C61" s="78"/>
      <c r="N61" s="58"/>
      <c r="O61" s="58"/>
      <c r="P61" s="58"/>
      <c r="Q61" s="58"/>
      <c r="R61" s="58"/>
      <c r="S61" s="58"/>
      <c r="T61" s="58"/>
      <c r="U61" s="58"/>
      <c r="V61" s="58"/>
    </row>
    <row r="62" spans="1:42" x14ac:dyDescent="0.2">
      <c r="B62" s="78"/>
      <c r="C62" s="78"/>
      <c r="N62" s="77"/>
      <c r="O62" s="77"/>
      <c r="P62" s="77"/>
      <c r="Q62" s="77"/>
      <c r="R62" s="77"/>
      <c r="S62" s="77"/>
      <c r="T62" s="77"/>
      <c r="U62" s="77"/>
      <c r="V62" s="77"/>
    </row>
    <row r="63" spans="1:42" x14ac:dyDescent="0.2">
      <c r="B63" s="78"/>
      <c r="C63" s="78"/>
    </row>
    <row r="64" spans="1:42" x14ac:dyDescent="0.2">
      <c r="B64" s="78"/>
      <c r="C64" s="78"/>
    </row>
    <row r="65" spans="2:10" x14ac:dyDescent="0.2">
      <c r="B65" s="78"/>
      <c r="C65" s="78"/>
    </row>
    <row r="66" spans="2:10" x14ac:dyDescent="0.2">
      <c r="B66" s="78"/>
      <c r="C66" s="78"/>
      <c r="F66" s="76"/>
      <c r="G66" s="76"/>
      <c r="H66" s="76"/>
      <c r="I66" s="76"/>
      <c r="J66" s="76"/>
    </row>
    <row r="67" spans="2:10" x14ac:dyDescent="0.2">
      <c r="B67" s="78"/>
      <c r="C67" s="78"/>
      <c r="F67" s="76"/>
      <c r="G67" s="76"/>
      <c r="H67" s="76"/>
      <c r="I67" s="76"/>
      <c r="J67" s="76"/>
    </row>
    <row r="68" spans="2:10" x14ac:dyDescent="0.2">
      <c r="B68" s="78"/>
      <c r="C68" s="78"/>
      <c r="F68" s="76"/>
      <c r="G68" s="76"/>
      <c r="H68" s="76"/>
      <c r="I68" s="76"/>
      <c r="J68" s="76"/>
    </row>
    <row r="69" spans="2:10" x14ac:dyDescent="0.2">
      <c r="B69" s="78"/>
      <c r="C69" s="78"/>
      <c r="F69" s="76"/>
      <c r="G69" s="76"/>
      <c r="H69" s="76"/>
      <c r="I69" s="76"/>
      <c r="J69" s="76"/>
    </row>
    <row r="70" spans="2:10" x14ac:dyDescent="0.2">
      <c r="B70" s="78"/>
      <c r="C70" s="78"/>
      <c r="F70" s="76"/>
      <c r="G70" s="76"/>
      <c r="H70" s="76"/>
      <c r="I70" s="76"/>
      <c r="J70" s="76"/>
    </row>
  </sheetData>
  <sheetProtection selectLockedCells="1"/>
  <mergeCells count="45">
    <mergeCell ref="A3:D3"/>
    <mergeCell ref="A4:D4"/>
    <mergeCell ref="C32:M32"/>
    <mergeCell ref="AC40:AC41"/>
    <mergeCell ref="B44:D44"/>
    <mergeCell ref="B42:D43"/>
    <mergeCell ref="AA42:AA43"/>
    <mergeCell ref="AA39:AA41"/>
    <mergeCell ref="B39:D41"/>
    <mergeCell ref="G23:H25"/>
    <mergeCell ref="G26:H27"/>
    <mergeCell ref="I23:M25"/>
    <mergeCell ref="I26:M27"/>
    <mergeCell ref="AP21:AQ21"/>
    <mergeCell ref="B46:D46"/>
    <mergeCell ref="A2:K2"/>
    <mergeCell ref="A1:K1"/>
    <mergeCell ref="B38:D38"/>
    <mergeCell ref="A6:A10"/>
    <mergeCell ref="A13:A20"/>
    <mergeCell ref="C13:D13"/>
    <mergeCell ref="C14:D14"/>
    <mergeCell ref="C20:D20"/>
    <mergeCell ref="C19:D19"/>
    <mergeCell ref="C18:D18"/>
    <mergeCell ref="C17:D17"/>
    <mergeCell ref="E40:K40"/>
    <mergeCell ref="E42:K42"/>
    <mergeCell ref="A23:A29"/>
    <mergeCell ref="B47:D47"/>
    <mergeCell ref="B48:D48"/>
    <mergeCell ref="C8:D8"/>
    <mergeCell ref="C7:D7"/>
    <mergeCell ref="C6:D6"/>
    <mergeCell ref="C16:D16"/>
    <mergeCell ref="C15:D15"/>
    <mergeCell ref="C12:D12"/>
    <mergeCell ref="C10:D10"/>
    <mergeCell ref="C9:D9"/>
    <mergeCell ref="C33:M33"/>
    <mergeCell ref="E41:K41"/>
    <mergeCell ref="E43:K43"/>
    <mergeCell ref="E38:L38"/>
    <mergeCell ref="E44:K44"/>
    <mergeCell ref="E39:K39"/>
  </mergeCells>
  <conditionalFormatting sqref="E39:L39">
    <cfRule type="expression" dxfId="25" priority="11">
      <formula>$AC$39="True"</formula>
    </cfRule>
  </conditionalFormatting>
  <conditionalFormatting sqref="E40:L41">
    <cfRule type="expression" dxfId="24" priority="10">
      <formula>$AC$40="True"</formula>
    </cfRule>
  </conditionalFormatting>
  <conditionalFormatting sqref="E42:L42">
    <cfRule type="expression" dxfId="23" priority="9">
      <formula>$AC$42="True"</formula>
    </cfRule>
  </conditionalFormatting>
  <conditionalFormatting sqref="E42:L43">
    <cfRule type="expression" dxfId="22" priority="4">
      <formula>$AC$45="L"</formula>
    </cfRule>
  </conditionalFormatting>
  <conditionalFormatting sqref="E42:L44">
    <cfRule type="expression" dxfId="21" priority="2">
      <formula>$AC$45="H"</formula>
    </cfRule>
  </conditionalFormatting>
  <conditionalFormatting sqref="E43:L43">
    <cfRule type="expression" dxfId="20" priority="8">
      <formula>$AC$43="True"</formula>
    </cfRule>
  </conditionalFormatting>
  <conditionalFormatting sqref="E44:L44">
    <cfRule type="expression" dxfId="19" priority="1">
      <formula>$AC$45="L"</formula>
    </cfRule>
    <cfRule type="expression" dxfId="18" priority="3">
      <formula>$AC$45="M"</formula>
    </cfRule>
  </conditionalFormatting>
  <conditionalFormatting sqref="F12">
    <cfRule type="expression" dxfId="17" priority="13">
      <formula>$D$50="Yes"</formula>
    </cfRule>
  </conditionalFormatting>
  <conditionalFormatting sqref="F13:F17">
    <cfRule type="expression" dxfId="16" priority="14">
      <formula>$D$50="Yes"</formula>
    </cfRule>
  </conditionalFormatting>
  <conditionalFormatting sqref="I23">
    <cfRule type="expression" dxfId="15" priority="90">
      <formula>$AC$45="H"</formula>
    </cfRule>
    <cfRule type="expression" dxfId="14" priority="91">
      <formula>$AC$45="M"</formula>
    </cfRule>
    <cfRule type="expression" dxfId="13" priority="92">
      <formula>$AC$45="L"</formula>
    </cfRule>
  </conditionalFormatting>
  <dataValidations count="1">
    <dataValidation type="list" allowBlank="1" showInputMessage="1" showErrorMessage="1" sqref="F66:J70 F56:K57 B52:G53 A58:A59" xr:uid="{6269383D-D0E1-4413-B347-89466C2D0D3F}">
      <formula1>"A,B,C,D,E,F"</formula1>
    </dataValidation>
  </dataValidations>
  <hyperlinks>
    <hyperlink ref="C12" r:id="rId1" display="Future Connect Network Hierarchy" xr:uid="{5B134329-5452-4744-B374-F5FE18AFCFF6}"/>
    <hyperlink ref="B48:D48" r:id="rId2" display="   Application of the Auckland Network Operating Plan" xr:uid="{8B168D63-4B1F-4FEF-AAC3-9253B46AB74A}"/>
    <hyperlink ref="A3" r:id="rId3" display="For more information about the Auckland Network Operating Plan" xr:uid="{9B69DDA3-DF60-425C-9458-9E4A2FF4851F}"/>
    <hyperlink ref="A4" r:id="rId4" xr:uid="{B93950CF-2409-4A21-AAD9-C74A27D18183}"/>
  </hyperlinks>
  <printOptions horizontalCentered="1"/>
  <pageMargins left="0.23622047244094491" right="0.23622047244094491" top="0.74803149606299213" bottom="0.74803149606299213" header="0.31496062992125984" footer="0.31496062992125984"/>
  <pageSetup paperSize="9" scale="78" orientation="landscape" horizontalDpi="1200" verticalDpi="1200" r:id="rId5"/>
  <drawing r:id="rId6"/>
  <extLst>
    <ext xmlns:x14="http://schemas.microsoft.com/office/spreadsheetml/2009/9/main" uri="{CCE6A557-97BC-4b89-ADB6-D9C93CAAB3DF}">
      <x14:dataValidations xmlns:xm="http://schemas.microsoft.com/office/excel/2006/main" count="10">
        <x14:dataValidation type="list" allowBlank="1" showInputMessage="1" showErrorMessage="1" xr:uid="{B61A1F6B-DEB9-48E6-8794-3380923B8B38}">
          <x14:formula1>
            <xm:f>'NOP Tool lookups'!$A$4:$A$10</xm:f>
          </x14:formula1>
          <xm:sqref>C14</xm:sqref>
        </x14:dataValidation>
        <x14:dataValidation type="list" allowBlank="1" showInputMessage="1" showErrorMessage="1" xr:uid="{18BDE997-7897-4317-B666-8A5FE3E0BDAB}">
          <x14:formula1>
            <xm:f>'NOP Tool lookups'!$Y$4:$Y$7</xm:f>
          </x14:formula1>
          <xm:sqref>C13</xm:sqref>
        </x14:dataValidation>
        <x14:dataValidation type="list" allowBlank="1" showInputMessage="1" showErrorMessage="1" xr:uid="{D183DD51-6762-48E1-AD42-24228DBF0562}">
          <x14:formula1>
            <xm:f>'NOP Tool lookups'!$S$4:$S$9</xm:f>
          </x14:formula1>
          <xm:sqref>C17</xm:sqref>
        </x14:dataValidation>
        <x14:dataValidation type="list" allowBlank="1" showInputMessage="1" showErrorMessage="1" xr:uid="{F2E45676-A265-43A4-AC8F-310B7C304DC0}">
          <x14:formula1>
            <xm:f>'NOP Tool lookups'!$G$4:$G$11</xm:f>
          </x14:formula1>
          <xm:sqref>C15</xm:sqref>
        </x14:dataValidation>
        <x14:dataValidation type="list" allowBlank="1" showInputMessage="1" showErrorMessage="1" xr:uid="{FB805743-8413-4436-B4F4-E991EDF72DE8}">
          <x14:formula1>
            <xm:f>'NOP Tool lookups'!$AD$4:$AD$15</xm:f>
          </x14:formula1>
          <xm:sqref>C18:D18</xm:sqref>
        </x14:dataValidation>
        <x14:dataValidation type="list" allowBlank="1" showInputMessage="1" showErrorMessage="1" xr:uid="{2B0AE6F8-4222-4767-AB05-B5F1035DC101}">
          <x14:formula1>
            <xm:f>'NOP Tool lookups'!$P$23:$P$24</xm:f>
          </x14:formula1>
          <xm:sqref>D50</xm:sqref>
        </x14:dataValidation>
        <x14:dataValidation type="list" allowBlank="1" showInputMessage="1" showErrorMessage="1" xr:uid="{D9C23A45-759C-4065-ABB4-220AABB96A32}">
          <x14:formula1>
            <xm:f>'NOP Tool lookups'!$K$23:$K$28</xm:f>
          </x14:formula1>
          <xm:sqref>F13:F17</xm:sqref>
        </x14:dataValidation>
        <x14:dataValidation type="list" allowBlank="1" showInputMessage="1" showErrorMessage="1" xr:uid="{B683C914-A235-4EE7-AEB1-E3F887080A2F}">
          <x14:formula1>
            <xm:f>'NOP Tool lookups'!$A$23:$A$34</xm:f>
          </x14:formula1>
          <xm:sqref>D23:D29</xm:sqref>
        </x14:dataValidation>
        <x14:dataValidation type="list" allowBlank="1" showInputMessage="1" showErrorMessage="1" xr:uid="{2E909631-2522-4A6A-9FBC-DAE47132A8E4}">
          <x14:formula1>
            <xm:f>'NOP Tool lookups'!$A$29:$A$34</xm:f>
          </x14:formula1>
          <xm:sqref>C23:C29</xm:sqref>
        </x14:dataValidation>
        <x14:dataValidation type="list" allowBlank="1" showInputMessage="1" showErrorMessage="1" xr:uid="{16BCD16B-4D31-417F-9EC2-90E6E37696A2}">
          <x14:formula1>
            <xm:f>'NOP Tool lookups'!$M$4:$M$11</xm:f>
          </x14:formula1>
          <xm:sqref>C16:D16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DD94-3D81-421A-9A6B-D284185A5F17}">
  <sheetPr>
    <pageSetUpPr fitToPage="1"/>
  </sheetPr>
  <dimension ref="A1:AU70"/>
  <sheetViews>
    <sheetView workbookViewId="0">
      <selection sqref="A1:K1"/>
    </sheetView>
  </sheetViews>
  <sheetFormatPr baseColWidth="10" defaultColWidth="9.1640625" defaultRowHeight="15" x14ac:dyDescent="0.2"/>
  <cols>
    <col min="1" max="1" width="7.83203125" style="56" customWidth="1"/>
    <col min="2" max="3" width="22" style="56" customWidth="1"/>
    <col min="4" max="4" width="37.83203125" style="56" customWidth="1"/>
    <col min="5" max="5" width="2.1640625" style="56" customWidth="1"/>
    <col min="6" max="6" width="12.33203125" style="56" customWidth="1"/>
    <col min="7" max="8" width="8.33203125" style="56" customWidth="1"/>
    <col min="9" max="9" width="15.5" style="56" customWidth="1"/>
    <col min="10" max="10" width="12.33203125" style="56" customWidth="1"/>
    <col min="11" max="11" width="15.6640625" style="56" customWidth="1"/>
    <col min="12" max="12" width="3.6640625" style="56" customWidth="1"/>
    <col min="13" max="13" width="35.5" style="56" customWidth="1"/>
    <col min="14" max="15" width="12.33203125" style="57" customWidth="1"/>
    <col min="16" max="16" width="8.5" style="57" customWidth="1"/>
    <col min="17" max="17" width="9.6640625" style="57" customWidth="1"/>
    <col min="18" max="19" width="8.5" style="57" customWidth="1"/>
    <col min="20" max="22" width="8.5" style="56" customWidth="1"/>
    <col min="23" max="24" width="9.1640625" style="56" customWidth="1"/>
    <col min="25" max="25" width="23.33203125" style="56" customWidth="1"/>
    <col min="26" max="27" width="9.1640625" style="56" customWidth="1"/>
    <col min="28" max="28" width="12.83203125" style="56" customWidth="1"/>
    <col min="29" max="30" width="13.1640625" style="56" customWidth="1"/>
    <col min="31" max="31" width="14.6640625" style="56" customWidth="1"/>
    <col min="32" max="33" width="25.1640625" style="56" customWidth="1"/>
    <col min="34" max="34" width="11" style="56" customWidth="1"/>
    <col min="35" max="35" width="20.83203125" style="56" customWidth="1"/>
    <col min="36" max="36" width="25.1640625" style="76" customWidth="1"/>
    <col min="37" max="37" width="28.5" style="56" customWidth="1"/>
    <col min="38" max="38" width="18.83203125" style="76" customWidth="1"/>
    <col min="39" max="39" width="21.6640625" style="76" customWidth="1"/>
    <col min="40" max="40" width="9.1640625" style="56" customWidth="1"/>
    <col min="41" max="41" width="12.83203125" style="56" customWidth="1"/>
    <col min="42" max="42" width="14" style="56" customWidth="1"/>
    <col min="43" max="43" width="15.6640625" style="56" customWidth="1"/>
    <col min="44" max="44" width="9.1640625" style="56" customWidth="1"/>
    <col min="45" max="45" width="17.5" style="56" customWidth="1"/>
    <col min="46" max="47" width="9.1640625" style="56" customWidth="1"/>
    <col min="48" max="16384" width="9.1640625" style="56"/>
  </cols>
  <sheetData>
    <row r="1" spans="1:42" ht="24" x14ac:dyDescent="0.2">
      <c r="A1" s="262" t="s">
        <v>215</v>
      </c>
      <c r="B1" s="262"/>
      <c r="C1" s="262"/>
      <c r="D1" s="262"/>
      <c r="E1" s="262"/>
      <c r="F1" s="262"/>
      <c r="G1" s="262"/>
      <c r="H1" s="262"/>
      <c r="I1" s="262"/>
      <c r="J1" s="262"/>
      <c r="K1" s="262"/>
      <c r="O1" s="58"/>
      <c r="X1" s="59"/>
      <c r="Y1" s="59"/>
      <c r="Z1" s="59"/>
      <c r="AA1" s="59"/>
      <c r="AB1" s="59"/>
      <c r="AC1" s="59"/>
      <c r="AD1" s="59"/>
      <c r="AE1" s="59"/>
      <c r="AF1" s="59"/>
      <c r="AG1" s="59"/>
      <c r="AH1" s="59"/>
      <c r="AI1" s="59"/>
      <c r="AJ1" s="111"/>
      <c r="AK1" s="59"/>
      <c r="AN1" s="59"/>
      <c r="AO1" s="59"/>
      <c r="AP1" s="59"/>
    </row>
    <row r="2" spans="1:42" ht="87.75" customHeight="1" x14ac:dyDescent="0.2">
      <c r="A2" s="261" t="s">
        <v>211</v>
      </c>
      <c r="B2" s="261"/>
      <c r="C2" s="261"/>
      <c r="D2" s="261"/>
      <c r="E2" s="261"/>
      <c r="F2" s="261"/>
      <c r="G2" s="261"/>
      <c r="H2" s="261"/>
      <c r="I2" s="261"/>
      <c r="J2" s="261"/>
      <c r="K2" s="261"/>
      <c r="O2" s="58"/>
      <c r="X2" s="59"/>
      <c r="Y2" s="59"/>
      <c r="Z2" s="59"/>
      <c r="AA2" s="60" t="s">
        <v>127</v>
      </c>
      <c r="AB2" s="59"/>
      <c r="AC2" s="59"/>
      <c r="AD2" s="59"/>
      <c r="AE2" s="59"/>
      <c r="AF2" s="59"/>
      <c r="AG2" s="59"/>
      <c r="AH2" s="59"/>
      <c r="AI2" s="59"/>
      <c r="AJ2" s="111"/>
      <c r="AK2" s="59"/>
      <c r="AN2" s="59"/>
      <c r="AO2" s="59"/>
      <c r="AP2" s="59"/>
    </row>
    <row r="3" spans="1:42" x14ac:dyDescent="0.2">
      <c r="A3" s="267" t="s">
        <v>212</v>
      </c>
      <c r="B3" s="267"/>
      <c r="C3" s="267"/>
      <c r="D3" s="267"/>
      <c r="J3" s="59"/>
      <c r="X3" s="59"/>
      <c r="Y3" s="59"/>
      <c r="Z3" s="59"/>
      <c r="AB3" s="59"/>
      <c r="AC3" s="59"/>
      <c r="AD3" s="59"/>
      <c r="AE3" s="59"/>
      <c r="AF3" s="59"/>
      <c r="AG3" s="59"/>
      <c r="AH3" s="59"/>
      <c r="AI3" s="59"/>
      <c r="AJ3" s="111"/>
      <c r="AK3" s="59"/>
      <c r="AN3" s="59"/>
      <c r="AO3" s="59"/>
      <c r="AP3" s="59"/>
    </row>
    <row r="4" spans="1:42" x14ac:dyDescent="0.2">
      <c r="A4" s="267" t="s">
        <v>213</v>
      </c>
      <c r="B4" s="267"/>
      <c r="C4" s="267"/>
      <c r="D4" s="267"/>
      <c r="J4" s="59"/>
      <c r="X4" s="59"/>
      <c r="Y4" s="59"/>
      <c r="Z4" s="59"/>
      <c r="AA4" s="67" t="s">
        <v>128</v>
      </c>
      <c r="AB4" s="59"/>
      <c r="AC4" s="59"/>
      <c r="AD4" s="59"/>
      <c r="AE4" s="59"/>
      <c r="AF4" s="59"/>
      <c r="AG4" s="59"/>
      <c r="AH4" s="59"/>
      <c r="AI4" s="59"/>
      <c r="AJ4" s="111"/>
      <c r="AK4" s="59"/>
      <c r="AN4" s="59"/>
      <c r="AO4" s="59"/>
      <c r="AP4" s="59"/>
    </row>
    <row r="5" spans="1:42" x14ac:dyDescent="0.2">
      <c r="J5" s="59"/>
      <c r="M5" s="60"/>
      <c r="N5" s="60"/>
      <c r="O5" s="60"/>
      <c r="P5" s="60"/>
      <c r="Q5" s="60"/>
      <c r="R5" s="60"/>
      <c r="S5" s="60"/>
      <c r="T5" s="60"/>
      <c r="U5" s="60"/>
      <c r="V5" s="60"/>
      <c r="W5" s="60"/>
      <c r="X5" s="61"/>
      <c r="Y5" s="61"/>
      <c r="Z5" s="61"/>
      <c r="AA5" s="67" t="s">
        <v>60</v>
      </c>
      <c r="AB5" s="59"/>
      <c r="AC5" s="59"/>
      <c r="AD5" s="59"/>
      <c r="AE5" s="59"/>
      <c r="AF5" s="59"/>
      <c r="AG5" s="59"/>
      <c r="AH5" s="59"/>
      <c r="AI5" s="59"/>
      <c r="AJ5" s="111"/>
      <c r="AK5" s="59"/>
      <c r="AN5" s="59"/>
      <c r="AO5" s="59"/>
      <c r="AP5" s="59"/>
    </row>
    <row r="6" spans="1:42" x14ac:dyDescent="0.2">
      <c r="A6" s="264" t="s">
        <v>32</v>
      </c>
      <c r="B6" s="62" t="s">
        <v>25</v>
      </c>
      <c r="C6" s="239">
        <f>'1-FC and Land Use Inputs'!C8</f>
        <v>0</v>
      </c>
      <c r="D6" s="240"/>
      <c r="E6" s="63"/>
      <c r="J6" s="59"/>
      <c r="M6" s="60"/>
      <c r="N6" s="60"/>
      <c r="O6" s="60"/>
      <c r="P6" s="60"/>
      <c r="Q6" s="60"/>
      <c r="R6" s="60"/>
      <c r="S6" s="60"/>
      <c r="T6" s="60"/>
      <c r="U6" s="60"/>
      <c r="V6" s="60"/>
      <c r="W6" s="60"/>
      <c r="X6" s="61"/>
      <c r="Y6" s="61"/>
      <c r="Z6" s="61"/>
      <c r="AA6" s="67" t="s">
        <v>129</v>
      </c>
      <c r="AB6" s="59"/>
      <c r="AC6" s="59"/>
      <c r="AD6" s="59"/>
      <c r="AE6" s="59"/>
      <c r="AF6" s="59"/>
      <c r="AG6" s="59"/>
      <c r="AH6" s="59"/>
      <c r="AI6" s="59"/>
      <c r="AJ6" s="111"/>
      <c r="AK6" s="59"/>
      <c r="AN6" s="59"/>
      <c r="AO6" s="59"/>
      <c r="AP6" s="59"/>
    </row>
    <row r="7" spans="1:42" x14ac:dyDescent="0.2">
      <c r="A7" s="264"/>
      <c r="B7" s="62" t="s">
        <v>28</v>
      </c>
      <c r="C7" s="239">
        <f>'1-FC and Land Use Inputs'!C9</f>
        <v>0</v>
      </c>
      <c r="D7" s="240"/>
      <c r="E7" s="59"/>
      <c r="J7" s="59"/>
      <c r="M7" s="60"/>
      <c r="N7" s="60"/>
      <c r="O7" s="60"/>
      <c r="P7" s="60"/>
      <c r="Q7" s="60"/>
      <c r="R7" s="60"/>
      <c r="S7" s="60"/>
      <c r="T7" s="60"/>
      <c r="U7" s="60"/>
      <c r="V7" s="60"/>
      <c r="W7" s="60"/>
      <c r="X7" s="61"/>
      <c r="Y7" s="61"/>
      <c r="Z7" s="61"/>
      <c r="AA7" s="67" t="s">
        <v>5</v>
      </c>
      <c r="AB7" s="59"/>
      <c r="AC7" s="59"/>
      <c r="AD7" s="59"/>
      <c r="AE7" s="59"/>
      <c r="AF7" s="59"/>
      <c r="AG7" s="59"/>
      <c r="AH7" s="59"/>
      <c r="AI7" s="59"/>
      <c r="AJ7" s="111"/>
      <c r="AK7" s="59"/>
      <c r="AN7" s="59"/>
      <c r="AO7" s="59"/>
      <c r="AP7" s="59"/>
    </row>
    <row r="8" spans="1:42" x14ac:dyDescent="0.2">
      <c r="A8" s="264"/>
      <c r="B8" s="62" t="s">
        <v>26</v>
      </c>
      <c r="C8" s="239" t="str">
        <f>CONCATENATE('2-Productivity Inputs'!A26,", ",'1-FC and Land Use Inputs'!C14)</f>
        <v xml:space="preserve">Option 1 - HV + Bus Lane, </v>
      </c>
      <c r="D8" s="240"/>
      <c r="E8" s="59"/>
      <c r="J8" s="59"/>
      <c r="M8" s="60"/>
      <c r="N8" s="60"/>
      <c r="O8" s="60"/>
      <c r="P8" s="60"/>
      <c r="Q8" s="60"/>
      <c r="R8" s="60"/>
      <c r="S8" s="60"/>
      <c r="T8" s="60"/>
      <c r="U8" s="60"/>
      <c r="V8" s="60"/>
      <c r="W8" s="60"/>
      <c r="X8" s="61"/>
      <c r="Y8" s="61"/>
      <c r="Z8" s="61"/>
      <c r="AA8" s="67" t="s">
        <v>130</v>
      </c>
      <c r="AB8" s="59"/>
      <c r="AC8" s="59"/>
      <c r="AD8" s="59"/>
      <c r="AE8" s="59"/>
      <c r="AF8" s="59"/>
      <c r="AG8" s="59"/>
      <c r="AH8" s="59"/>
      <c r="AI8" s="59"/>
      <c r="AJ8" s="111"/>
      <c r="AK8" s="59"/>
      <c r="AN8" s="59"/>
      <c r="AO8" s="59"/>
      <c r="AP8" s="59"/>
    </row>
    <row r="9" spans="1:42" x14ac:dyDescent="0.2">
      <c r="A9" s="264"/>
      <c r="B9" s="62" t="s">
        <v>27</v>
      </c>
      <c r="C9" s="244">
        <f>'1-FC and Land Use Inputs'!C11</f>
        <v>0</v>
      </c>
      <c r="D9" s="245"/>
      <c r="E9" s="59"/>
      <c r="M9" s="60"/>
      <c r="N9" s="60"/>
      <c r="O9" s="60"/>
      <c r="P9" s="60"/>
      <c r="Q9" s="60"/>
      <c r="R9" s="60"/>
      <c r="S9" s="60"/>
      <c r="T9" s="60"/>
      <c r="U9" s="60"/>
      <c r="V9" s="60"/>
      <c r="W9" s="60"/>
      <c r="X9" s="61"/>
      <c r="Y9" s="61"/>
      <c r="Z9" s="61"/>
      <c r="AA9" s="67"/>
      <c r="AB9" s="59"/>
      <c r="AC9" s="59"/>
      <c r="AD9" s="59"/>
      <c r="AE9" s="59"/>
      <c r="AF9" s="59"/>
      <c r="AG9" s="59"/>
      <c r="AH9" s="59"/>
      <c r="AI9" s="59"/>
      <c r="AJ9" s="111"/>
      <c r="AK9" s="59"/>
      <c r="AN9" s="59"/>
      <c r="AO9" s="59"/>
      <c r="AP9" s="59"/>
    </row>
    <row r="10" spans="1:42" x14ac:dyDescent="0.2">
      <c r="A10" s="264"/>
      <c r="B10" s="62" t="s">
        <v>29</v>
      </c>
      <c r="C10" s="239">
        <f>'1-FC and Land Use Inputs'!C12</f>
        <v>0</v>
      </c>
      <c r="D10" s="240"/>
      <c r="E10" s="59"/>
      <c r="M10" s="60"/>
      <c r="N10" s="60"/>
      <c r="O10" s="60"/>
      <c r="P10" s="60"/>
      <c r="Q10" s="60"/>
      <c r="R10" s="60"/>
      <c r="S10" s="60"/>
      <c r="T10" s="60"/>
      <c r="U10" s="60"/>
      <c r="V10" s="60"/>
      <c r="W10" s="60"/>
      <c r="X10" s="61"/>
      <c r="Y10" s="61"/>
      <c r="Z10" s="61"/>
      <c r="AA10" s="67" t="s">
        <v>85</v>
      </c>
      <c r="AB10" s="59"/>
      <c r="AC10" s="59"/>
      <c r="AD10" s="59"/>
      <c r="AE10" s="59"/>
      <c r="AF10" s="59"/>
      <c r="AG10" s="59"/>
      <c r="AH10" s="59"/>
      <c r="AI10" s="59"/>
      <c r="AJ10" s="111"/>
      <c r="AK10" s="59"/>
      <c r="AN10" s="59"/>
      <c r="AO10" s="59"/>
      <c r="AP10" s="59"/>
    </row>
    <row r="11" spans="1:42" x14ac:dyDescent="0.2">
      <c r="A11" s="64"/>
      <c r="C11" s="76"/>
      <c r="D11" s="76"/>
      <c r="M11" s="60"/>
      <c r="X11" s="61"/>
      <c r="Y11" s="61"/>
      <c r="Z11" s="61"/>
      <c r="AA11" s="67" t="s">
        <v>86</v>
      </c>
      <c r="AB11" s="59"/>
      <c r="AC11" s="60"/>
      <c r="AD11" s="60"/>
      <c r="AE11" s="60"/>
      <c r="AF11" s="60"/>
      <c r="AG11" s="60"/>
      <c r="AH11" s="60"/>
      <c r="AI11" s="60"/>
      <c r="AJ11" s="68"/>
      <c r="AK11" s="60"/>
      <c r="AL11" s="68"/>
      <c r="AM11" s="68"/>
      <c r="AN11" s="59"/>
      <c r="AO11" s="59"/>
      <c r="AP11" s="59"/>
    </row>
    <row r="12" spans="1:42" ht="39" customHeight="1" x14ac:dyDescent="0.2">
      <c r="C12" s="242" t="s">
        <v>131</v>
      </c>
      <c r="D12" s="243"/>
      <c r="F12" s="120" t="s">
        <v>199</v>
      </c>
      <c r="H12" s="59"/>
      <c r="I12" s="59"/>
      <c r="M12" s="60"/>
      <c r="X12" s="61"/>
      <c r="Y12" s="61"/>
      <c r="Z12" s="61"/>
      <c r="AA12" s="59"/>
      <c r="AB12" s="65" t="s">
        <v>187</v>
      </c>
      <c r="AC12" s="65" t="s">
        <v>188</v>
      </c>
      <c r="AD12" s="65" t="s">
        <v>189</v>
      </c>
      <c r="AE12" s="65" t="s">
        <v>190</v>
      </c>
      <c r="AF12" s="112" t="s">
        <v>191</v>
      </c>
      <c r="AG12" s="136" t="s">
        <v>134</v>
      </c>
      <c r="AH12" s="65" t="s">
        <v>164</v>
      </c>
      <c r="AI12" s="112" t="s">
        <v>192</v>
      </c>
      <c r="AJ12" s="65" t="s">
        <v>194</v>
      </c>
      <c r="AK12" s="112" t="s">
        <v>198</v>
      </c>
      <c r="AL12" s="112" t="s">
        <v>206</v>
      </c>
      <c r="AM12" s="65"/>
      <c r="AN12" s="111"/>
      <c r="AO12" s="111"/>
      <c r="AP12" s="59"/>
    </row>
    <row r="13" spans="1:42" ht="14.5" customHeight="1" x14ac:dyDescent="0.2">
      <c r="A13" s="264" t="s">
        <v>33</v>
      </c>
      <c r="B13" s="66" t="s">
        <v>6</v>
      </c>
      <c r="C13" s="239" t="str">
        <f>'1-FC and Land Use Inputs'!C18</f>
        <v>Secondary</v>
      </c>
      <c r="D13" s="241"/>
      <c r="F13" s="98"/>
      <c r="H13" s="59"/>
      <c r="I13" s="59"/>
      <c r="M13" s="60"/>
      <c r="X13" s="61"/>
      <c r="Y13" s="61"/>
      <c r="Z13" s="61"/>
      <c r="AA13" s="67" t="s">
        <v>6</v>
      </c>
      <c r="AB13" s="68" t="str">
        <f>IF($D$50="Yes",F13,_xlfn.XLOOKUP(C13,'NOP Tool lookups'!$Y$4:$Y$7,'NOP Tool lookups'!$AB$4:$AB$7))</f>
        <v>C</v>
      </c>
      <c r="AC13" s="68" t="str">
        <f>_xlfn.XLOOKUP(AD13,'NOP Tool lookups'!$J$23:$J$30,'NOP Tool lookups'!$I$23:$I$30)</f>
        <v>C</v>
      </c>
      <c r="AD13" s="68">
        <f>_xlfn.XLOOKUP(AB13,'NOP Tool lookups'!$I$23:$I$30,'NOP Tool lookups'!$J$23:$J$30)</f>
        <v>4</v>
      </c>
      <c r="AE13" s="68">
        <f>IF(C23="",0,_xlfn.XLOOKUP(C23,'NOP Tool lookups'!$I$23:$I$30,'NOP Tool lookups'!$J$23:$J$30,0))</f>
        <v>3</v>
      </c>
      <c r="AF13" s="76">
        <f>IF(AE13&lt;$AD13,$AD13-AE13,0)</f>
        <v>1</v>
      </c>
      <c r="AG13" s="68">
        <f>IF(LEN($D23)=1,_xlfn.XLOOKUP(D23,'NOP Tool lookups'!$I$23:$I$30,'NOP Tool lookups'!$J$23:$J$30),IF(D23="",0,_xlfn.XLOOKUP(D23,'NOP Tool lookups'!$A$23:$A$28,'NOP Tool lookups'!$B$23:$B$28,0))*2+AE13)</f>
        <v>3</v>
      </c>
      <c r="AH13" s="68">
        <f>IF(AG13&lt;0,0,IF(AG13&gt;6,6,AG13))</f>
        <v>3</v>
      </c>
      <c r="AI13" s="76">
        <f>IF(AH13&lt;$AD13,$AD13-AG13,0)</f>
        <v>1</v>
      </c>
      <c r="AJ13" s="68">
        <f>AF13-AI13</f>
        <v>0</v>
      </c>
      <c r="AK13" s="76">
        <f>IF(AG13-AE13&gt;0,1,0)</f>
        <v>0</v>
      </c>
      <c r="AL13" s="76">
        <f>IF(AG13-AE13&lt;0,1,0)</f>
        <v>0</v>
      </c>
      <c r="AM13" s="68"/>
      <c r="AN13" s="59"/>
      <c r="AO13" s="59"/>
      <c r="AP13" s="59"/>
    </row>
    <row r="14" spans="1:42" ht="15.75" customHeight="1" x14ac:dyDescent="0.2">
      <c r="A14" s="264"/>
      <c r="B14" s="66" t="s">
        <v>34</v>
      </c>
      <c r="C14" s="239" t="str">
        <f>'1-FC and Land Use Inputs'!C19</f>
        <v>Connector</v>
      </c>
      <c r="D14" s="241"/>
      <c r="F14" s="98"/>
      <c r="H14" s="59"/>
      <c r="I14" s="59"/>
      <c r="M14" s="60"/>
      <c r="X14" s="61"/>
      <c r="Y14" s="61"/>
      <c r="Z14" s="61"/>
      <c r="AA14" s="67" t="s">
        <v>34</v>
      </c>
      <c r="AB14" s="68" t="str">
        <f>IF($D$50="Yes",F14,_xlfn.XLOOKUP(C14,'NOP Tool lookups'!$A$4:$A$10,'NOP Tool lookups'!$E$4:$E$10))</f>
        <v>C</v>
      </c>
      <c r="AC14" s="68" t="str">
        <f>_xlfn.XLOOKUP(AD14,'NOP Tool lookups'!$J$23:$J$30,'NOP Tool lookups'!$I$23:$I$30)</f>
        <v>C</v>
      </c>
      <c r="AD14" s="68">
        <f>_xlfn.XLOOKUP(AB14,'NOP Tool lookups'!$I$23:$I$30,'NOP Tool lookups'!$J$23:$J$30)</f>
        <v>4</v>
      </c>
      <c r="AE14" s="68">
        <f>IF(C24="",0,_xlfn.XLOOKUP(C24,'NOP Tool lookups'!$I$24:$I$30,'NOP Tool lookups'!$J$24:$J$30,0))</f>
        <v>4</v>
      </c>
      <c r="AF14" s="76">
        <f t="shared" ref="AF14:AF17" si="0">IF(AE14&lt;$AD14,$AD14-AE14,0)</f>
        <v>0</v>
      </c>
      <c r="AG14" s="68">
        <f>IF(LEN($D24)=1,_xlfn.XLOOKUP(D24,'NOP Tool lookups'!$I$23:$I$30,'NOP Tool lookups'!$J$23:$J$30),IF(D24="",0,_xlfn.XLOOKUP(D24,'NOP Tool lookups'!$A$23:$A$28,'NOP Tool lookups'!$B$23:$B$28,0))*2+AE14)</f>
        <v>4</v>
      </c>
      <c r="AH14" s="68">
        <f>IF(AG14&lt;0,0,IF(AG14&gt;6,6,AG14))</f>
        <v>4</v>
      </c>
      <c r="AI14" s="76">
        <f>IF(AH14&lt;$AD14,$AD14-AG14,0)</f>
        <v>0</v>
      </c>
      <c r="AJ14" s="68">
        <f>AF14-AI14</f>
        <v>0</v>
      </c>
      <c r="AK14" s="76">
        <f>IF(AG14-AE14&gt;0,1,0)</f>
        <v>0</v>
      </c>
      <c r="AL14" s="76">
        <f>IF(AG14-AE14&lt;0,1,0)</f>
        <v>0</v>
      </c>
      <c r="AM14" s="68"/>
      <c r="AN14" s="59"/>
      <c r="AO14" s="59"/>
      <c r="AP14" s="59"/>
    </row>
    <row r="15" spans="1:42" x14ac:dyDescent="0.2">
      <c r="A15" s="264"/>
      <c r="B15" s="66" t="s">
        <v>4</v>
      </c>
      <c r="C15" s="239" t="str">
        <f>'1-FC and Land Use Inputs'!C20</f>
        <v>Frequent Transit Network</v>
      </c>
      <c r="D15" s="241"/>
      <c r="F15" s="98"/>
      <c r="H15" s="59"/>
      <c r="I15" s="59"/>
      <c r="M15" s="60"/>
      <c r="X15" s="61"/>
      <c r="Y15" s="61"/>
      <c r="Z15" s="61"/>
      <c r="AA15" s="67" t="s">
        <v>4</v>
      </c>
      <c r="AB15" s="68" t="str">
        <f>IF($D$50="Yes",F15,_xlfn.XLOOKUP(C15,'NOP Tool lookups'!$G$4:$G$11,'NOP Tool lookups'!$K$4:$K$11))</f>
        <v>C</v>
      </c>
      <c r="AC15" s="68" t="str">
        <f>_xlfn.XLOOKUP(AD15,'NOP Tool lookups'!$J$23:$J$30,'NOP Tool lookups'!$I$23:$I$30)</f>
        <v>C</v>
      </c>
      <c r="AD15" s="68">
        <f>_xlfn.XLOOKUP(AB15,'NOP Tool lookups'!$I$23:$I$30,'NOP Tool lookups'!$J$23:$J$30)</f>
        <v>4</v>
      </c>
      <c r="AE15" s="68">
        <f>IF(C25="",0,_xlfn.XLOOKUP(C25,'NOP Tool lookups'!$I$24:$I$30,'NOP Tool lookups'!$J$24:$J$30,0))</f>
        <v>2</v>
      </c>
      <c r="AF15" s="76">
        <f t="shared" si="0"/>
        <v>2</v>
      </c>
      <c r="AG15" s="68">
        <f>IF(LEN($D25)=1,_xlfn.XLOOKUP(D25,'NOP Tool lookups'!$I$23:$I$30,'NOP Tool lookups'!$J$23:$J$30),IF(D25="",0,_xlfn.XLOOKUP(D25,'NOP Tool lookups'!$A$23:$A$28,'NOP Tool lookups'!$B$23:$B$28,0))*2+AE15)</f>
        <v>1</v>
      </c>
      <c r="AH15" s="68">
        <f>IF(AG15&lt;0,0,IF(AG15&gt;6,6,AG15))</f>
        <v>1</v>
      </c>
      <c r="AI15" s="76">
        <f>IF(AH15&lt;$AD15,$AD15-AG15,0)</f>
        <v>3</v>
      </c>
      <c r="AJ15" s="68">
        <f>AF15-AI15</f>
        <v>-1</v>
      </c>
      <c r="AK15" s="76">
        <f>IF(AG15-AE15&gt;0,1,0)</f>
        <v>0</v>
      </c>
      <c r="AL15" s="76">
        <f>IF(AG15-AE15&lt;0,1,0)</f>
        <v>1</v>
      </c>
      <c r="AM15" s="68"/>
      <c r="AN15" s="59"/>
      <c r="AO15" s="59"/>
      <c r="AP15" s="59"/>
    </row>
    <row r="16" spans="1:42" ht="15" customHeight="1" x14ac:dyDescent="0.2">
      <c r="A16" s="264"/>
      <c r="B16" s="66" t="s">
        <v>5</v>
      </c>
      <c r="C16" s="239" t="str">
        <f>'1-FC and Land Use Inputs'!C21</f>
        <v>Level 1B</v>
      </c>
      <c r="D16" s="241"/>
      <c r="F16" s="98"/>
      <c r="H16" s="59"/>
      <c r="I16" s="59"/>
      <c r="M16" s="60"/>
      <c r="X16" s="61"/>
      <c r="Y16" s="61"/>
      <c r="Z16" s="61"/>
      <c r="AA16" s="67" t="s">
        <v>5</v>
      </c>
      <c r="AB16" s="68" t="str">
        <f>IF($D$50="Yes",F16,_xlfn.XLOOKUP(C16,'NOP Tool lookups'!$M$4:$M$11,'NOP Tool lookups'!$Q$4:$Q$11))</f>
        <v>C</v>
      </c>
      <c r="AC16" s="68" t="str">
        <f>_xlfn.XLOOKUP(AD16,'NOP Tool lookups'!$J$23:$J$30,'NOP Tool lookups'!$I$23:$I$30)</f>
        <v>C</v>
      </c>
      <c r="AD16" s="68">
        <f>IF($D$50="Yes",_xlfn.XLOOKUP(AB16,'NOP Tool lookups'!$I$23:$I$30,'NOP Tool lookups'!$J$23:$J$30),_xlfn.XLOOKUP(AB16,'NOP Tool lookups'!$I$23:$I$30,'NOP Tool lookups'!$J$23:$J$30)+_xlfn.XLOOKUP($C$18,'NOP Tool lookups'!$AD$4:$AD$15,'NOP Tool lookups'!$AF$4:$AF$15))</f>
        <v>4</v>
      </c>
      <c r="AE16" s="68">
        <f>IF(C26="",0,_xlfn.XLOOKUP(C26,'NOP Tool lookups'!$I$24:$I$30,'NOP Tool lookups'!$J$24:$J$30,0))</f>
        <v>4</v>
      </c>
      <c r="AF16" s="76">
        <f t="shared" si="0"/>
        <v>0</v>
      </c>
      <c r="AG16" s="68">
        <f>IF(LEN($D26)=1,_xlfn.XLOOKUP(D26,'NOP Tool lookups'!$I$23:$I$30,'NOP Tool lookups'!$J$23:$J$30),IF(D26="",0,_xlfn.XLOOKUP(D26,'NOP Tool lookups'!$A$23:$A$28,'NOP Tool lookups'!$B$23:$B$28,0))*2+AE16)</f>
        <v>1</v>
      </c>
      <c r="AH16" s="68">
        <f>IF(AG16&lt;0,0,IF(AG16&gt;6,6,AG16))</f>
        <v>1</v>
      </c>
      <c r="AI16" s="76">
        <f>IF(AH16&lt;$AD16,$AD16-AG16,0)</f>
        <v>3</v>
      </c>
      <c r="AJ16" s="68">
        <f>AF16-AI16</f>
        <v>-3</v>
      </c>
      <c r="AK16" s="76">
        <f>IF(AG16-AE16&gt;0,1,0)</f>
        <v>0</v>
      </c>
      <c r="AL16" s="76">
        <f>IF(AG16-AE16&lt;0,1,0)</f>
        <v>1</v>
      </c>
      <c r="AM16" s="68"/>
      <c r="AN16" s="59"/>
      <c r="AO16" s="59"/>
      <c r="AP16" s="59"/>
    </row>
    <row r="17" spans="1:47" ht="15" customHeight="1" x14ac:dyDescent="0.2">
      <c r="A17" s="264"/>
      <c r="B17" s="66" t="s">
        <v>0</v>
      </c>
      <c r="C17" s="239" t="str">
        <f>'1-FC and Land Use Inputs'!C22</f>
        <v>Primary Arterial</v>
      </c>
      <c r="D17" s="241"/>
      <c r="F17" s="98"/>
      <c r="H17" s="59"/>
      <c r="I17" s="59"/>
      <c r="M17" s="60"/>
      <c r="X17" s="61"/>
      <c r="Y17" s="61"/>
      <c r="Z17" s="61"/>
      <c r="AA17" s="67" t="s">
        <v>0</v>
      </c>
      <c r="AB17" s="68" t="str">
        <f>IF($D$50="Yes",F17,_xlfn.XLOOKUP(C17,'NOP Tool lookups'!$S$4:$S$9,'NOP Tool lookups'!$W$4:$W$9))</f>
        <v>C</v>
      </c>
      <c r="AC17" s="68" t="str">
        <f>_xlfn.XLOOKUP(AD17,'NOP Tool lookups'!$J$23:$J$30,'NOP Tool lookups'!$I$23:$I$30)</f>
        <v>C</v>
      </c>
      <c r="AD17" s="68">
        <f>IF($D$50="Yes",_xlfn.XLOOKUP(AB17,'NOP Tool lookups'!$I$23:$I$30,'NOP Tool lookups'!$J$23:$J$30),_xlfn.XLOOKUP(AB17,'NOP Tool lookups'!$I$23:$I$30,'NOP Tool lookups'!$J$23:$J$30)+_xlfn.XLOOKUP($C$18,'NOP Tool lookups'!$AD$4:$AD$15,'NOP Tool lookups'!$AF$4:$AF$15))</f>
        <v>4</v>
      </c>
      <c r="AE17" s="68">
        <f>IF(C27="",0,_xlfn.XLOOKUP(C27,'NOP Tool lookups'!$I$24:$I$30,'NOP Tool lookups'!$J$24:$J$30,0))</f>
        <v>3</v>
      </c>
      <c r="AF17" s="76">
        <f t="shared" si="0"/>
        <v>1</v>
      </c>
      <c r="AG17" s="68">
        <f>IF(LEN($D27)=1,_xlfn.XLOOKUP(D27,'NOP Tool lookups'!$I$23:$I$30,'NOP Tool lookups'!$J$23:$J$30),IF(D27="",0,_xlfn.XLOOKUP(D27,'NOP Tool lookups'!$A$23:$A$28,'NOP Tool lookups'!$B$23:$B$28,0))*2+AE17)</f>
        <v>1</v>
      </c>
      <c r="AH17" s="68">
        <f>IF(AG17&lt;0,0,IF(AG17&gt;6,6,AG17))</f>
        <v>1</v>
      </c>
      <c r="AI17" s="76">
        <f>IF(AH17&lt;$AD17,$AD17-AG17,0)</f>
        <v>3</v>
      </c>
      <c r="AJ17" s="68">
        <f>AF17-AI17</f>
        <v>-2</v>
      </c>
      <c r="AK17" s="76">
        <f>IF(AG17-AE17&gt;0,1,0)</f>
        <v>0</v>
      </c>
      <c r="AL17" s="76">
        <f>IF(AG17-AE17&lt;0,1,0)</f>
        <v>1</v>
      </c>
      <c r="AM17" s="68"/>
      <c r="AN17" s="59"/>
      <c r="AO17" s="59"/>
      <c r="AP17" s="59"/>
    </row>
    <row r="18" spans="1:47" x14ac:dyDescent="0.2">
      <c r="A18" s="264"/>
      <c r="B18" s="66" t="s">
        <v>163</v>
      </c>
      <c r="C18" s="239" t="str">
        <f>'1-FC and Land Use Inputs'!C23</f>
        <v>Centre - Neighbourhood Centre Zone</v>
      </c>
      <c r="D18" s="241"/>
      <c r="H18" s="70"/>
      <c r="I18" s="70"/>
      <c r="J18" s="71"/>
      <c r="L18" s="59"/>
      <c r="M18" s="60"/>
      <c r="X18" s="61"/>
      <c r="Y18" s="61"/>
      <c r="Z18" s="61"/>
      <c r="AA18" s="67" t="s">
        <v>85</v>
      </c>
      <c r="AB18" s="68" t="e">
        <f>_xlfn.XLOOKUP(C18,'NOP Tool lookups'!Y9:Y12,'NOP Tool lookups'!AB9:AB12)</f>
        <v>#N/A</v>
      </c>
      <c r="AC18" s="68"/>
      <c r="AD18" s="68"/>
      <c r="AE18" s="68">
        <f>IF(C28="",0,_xlfn.XLOOKUP(C28,'NOP Tool lookups'!$I$24:$I$30,'NOP Tool lookups'!$J$24:$J$30,0))</f>
        <v>0</v>
      </c>
      <c r="AH18" s="68">
        <f>IF(D28="",0,_xlfn.XLOOKUP(D28,'NOP Tool lookups'!$I$23:$I$30,'NOP Tool lookups'!$J$23:$J$30,0))</f>
        <v>0</v>
      </c>
      <c r="AI18" s="60"/>
      <c r="AJ18" s="68"/>
      <c r="AL18" s="68"/>
      <c r="AM18" s="68"/>
      <c r="AN18" s="59"/>
      <c r="AO18" s="59"/>
      <c r="AP18" s="59"/>
    </row>
    <row r="19" spans="1:47" hidden="1" x14ac:dyDescent="0.2">
      <c r="A19" s="264"/>
      <c r="B19" s="66" t="s">
        <v>85</v>
      </c>
      <c r="C19" s="265" t="s">
        <v>84</v>
      </c>
      <c r="D19" s="266"/>
      <c r="H19" s="70"/>
      <c r="I19" s="70"/>
      <c r="J19" s="71"/>
      <c r="L19" s="59"/>
      <c r="M19" s="60"/>
      <c r="X19" s="61"/>
      <c r="Y19" s="61"/>
      <c r="Z19" s="61"/>
      <c r="AA19" s="67" t="s">
        <v>86</v>
      </c>
      <c r="AB19" s="68" t="e">
        <f>_xlfn.XLOOKUP(C19,'NOP Tool lookups'!Y10:Y13,'NOP Tool lookups'!AB10:AB13)</f>
        <v>#N/A</v>
      </c>
      <c r="AC19" s="68"/>
      <c r="AD19" s="68"/>
      <c r="AE19" s="68">
        <f>IF(C29="",0,_xlfn.XLOOKUP(C29,'NOP Tool lookups'!$I$24:$I$30,'NOP Tool lookups'!$J$24:$J$30,0))</f>
        <v>0</v>
      </c>
      <c r="AF19" s="68"/>
      <c r="AG19" s="68"/>
      <c r="AH19" s="68">
        <f>IF(D29="",0,_xlfn.XLOOKUP(D29,'NOP Tool lookups'!$I$23:$I$30,'NOP Tool lookups'!$J$23:$J$30,0))</f>
        <v>0</v>
      </c>
      <c r="AI19" s="60"/>
      <c r="AJ19" s="68"/>
      <c r="AL19" s="68"/>
      <c r="AM19" s="68"/>
      <c r="AN19" s="59"/>
      <c r="AO19" s="59"/>
      <c r="AP19" s="59"/>
    </row>
    <row r="20" spans="1:47" hidden="1" x14ac:dyDescent="0.2">
      <c r="A20" s="264"/>
      <c r="B20" s="66" t="s">
        <v>86</v>
      </c>
      <c r="C20" s="265" t="s">
        <v>84</v>
      </c>
      <c r="D20" s="266"/>
      <c r="H20" s="70"/>
      <c r="I20" s="70"/>
      <c r="J20" s="71"/>
      <c r="L20" s="59"/>
      <c r="M20" s="60"/>
      <c r="X20" s="61"/>
      <c r="Y20" s="61"/>
      <c r="Z20" s="61"/>
      <c r="AA20" s="67" t="s">
        <v>36</v>
      </c>
      <c r="AB20" s="59"/>
      <c r="AC20" s="60"/>
      <c r="AD20" s="67"/>
      <c r="AE20" s="68"/>
      <c r="AF20" s="68"/>
      <c r="AG20" s="68"/>
      <c r="AH20" s="69"/>
      <c r="AI20" s="60"/>
      <c r="AJ20" s="119"/>
      <c r="AL20" s="68"/>
      <c r="AM20" s="68"/>
      <c r="AN20" s="59"/>
      <c r="AO20" s="59"/>
    </row>
    <row r="21" spans="1:47" ht="14.5" customHeight="1" x14ac:dyDescent="0.2">
      <c r="H21" s="70"/>
      <c r="I21" s="71"/>
      <c r="J21" s="71"/>
      <c r="M21" s="60"/>
      <c r="X21" s="61"/>
      <c r="Y21" s="61"/>
      <c r="Z21" s="61"/>
      <c r="AA21" s="113" t="s">
        <v>193</v>
      </c>
      <c r="AB21" s="114"/>
      <c r="AC21" s="115"/>
      <c r="AD21" s="115"/>
      <c r="AE21" s="78"/>
      <c r="AF21" s="75">
        <f>SUM(AF13:AF20)</f>
        <v>4</v>
      </c>
      <c r="AG21" s="75"/>
      <c r="AH21" s="75"/>
      <c r="AI21" s="75">
        <f>SUM(AI13:AI20)</f>
        <v>10</v>
      </c>
      <c r="AJ21" s="118">
        <f>SUM(AJ13:AJ20)</f>
        <v>-6</v>
      </c>
      <c r="AK21" s="118">
        <f>SUM(AK13:AK20)</f>
        <v>0</v>
      </c>
      <c r="AL21" s="118">
        <f>SUM(AL13:AL20)</f>
        <v>3</v>
      </c>
      <c r="AM21"/>
      <c r="AN21"/>
      <c r="AO21" s="60"/>
      <c r="AP21" s="258" t="s">
        <v>135</v>
      </c>
      <c r="AQ21" s="258"/>
      <c r="AR21" s="60"/>
      <c r="AS21" s="59"/>
    </row>
    <row r="22" spans="1:47" ht="33.5" customHeight="1" x14ac:dyDescent="0.2">
      <c r="C22" s="102" t="s">
        <v>208</v>
      </c>
      <c r="D22" s="102" t="s">
        <v>207</v>
      </c>
      <c r="H22" s="70"/>
      <c r="I22" s="71"/>
      <c r="J22" s="72"/>
      <c r="K22" s="73"/>
      <c r="M22" s="60"/>
      <c r="X22" s="61"/>
      <c r="Y22" s="61"/>
      <c r="Z22" s="61"/>
      <c r="AA22" s="59"/>
      <c r="AB22" s="59"/>
      <c r="AC22" s="60"/>
      <c r="AD22"/>
      <c r="AE22"/>
      <c r="AF22"/>
      <c r="AG22"/>
      <c r="AH22"/>
      <c r="AI22"/>
      <c r="AJ22"/>
      <c r="AK22"/>
      <c r="AL22"/>
      <c r="AM22"/>
      <c r="AN22"/>
      <c r="AO22" s="60" t="s">
        <v>52</v>
      </c>
      <c r="AP22" s="60" t="s">
        <v>51</v>
      </c>
      <c r="AQ22" s="60"/>
    </row>
    <row r="23" spans="1:47" ht="16" x14ac:dyDescent="0.2">
      <c r="A23" s="264" t="s">
        <v>136</v>
      </c>
      <c r="B23" s="62" t="s">
        <v>6</v>
      </c>
      <c r="C23" s="138" t="str">
        <f>'1-FC and Land Use Inputs'!D27</f>
        <v>D</v>
      </c>
      <c r="D23" s="79" t="s">
        <v>24</v>
      </c>
      <c r="F23" s="103"/>
      <c r="G23" s="295" t="s">
        <v>54</v>
      </c>
      <c r="H23" s="296"/>
      <c r="I23" s="302" t="str">
        <f>_xlfn.XLOOKUP(AC45,'NOP Tool lookups'!$D$23:$D$25,'NOP Tool lookups'!$C$23:$C$25,"")</f>
        <v>Low likelihood of supporting the Auckland Network Operating Plan (ANOP) and Future Connect</v>
      </c>
      <c r="J23" s="303"/>
      <c r="K23" s="303"/>
      <c r="L23" s="303"/>
      <c r="M23" s="304"/>
      <c r="S23"/>
      <c r="T23"/>
      <c r="U23"/>
      <c r="V23"/>
      <c r="W23"/>
      <c r="X23"/>
      <c r="Y23"/>
      <c r="Z23"/>
      <c r="AA23"/>
      <c r="AB23" s="59"/>
      <c r="AC23" s="60"/>
      <c r="AD23"/>
      <c r="AE23"/>
      <c r="AF23"/>
      <c r="AG23"/>
      <c r="AH23"/>
      <c r="AI23"/>
      <c r="AJ23"/>
      <c r="AK23"/>
      <c r="AL23"/>
      <c r="AM23"/>
      <c r="AN23"/>
      <c r="AO23" s="61">
        <f>IF(AH13-AE13&lt;0,AE13-AH13,0)</f>
        <v>0</v>
      </c>
      <c r="AP23" s="61">
        <f>IF(AH13-AE13&gt;0,AH13-AE13,0)</f>
        <v>0</v>
      </c>
      <c r="AQ23" s="60"/>
    </row>
    <row r="24" spans="1:47" ht="15" customHeight="1" x14ac:dyDescent="0.2">
      <c r="A24" s="264"/>
      <c r="B24" s="62" t="s">
        <v>34</v>
      </c>
      <c r="C24" s="138" t="str">
        <f>'1-FC and Land Use Inputs'!D28</f>
        <v>C</v>
      </c>
      <c r="D24" s="79" t="s">
        <v>24</v>
      </c>
      <c r="F24" s="103"/>
      <c r="G24" s="297"/>
      <c r="H24" s="298"/>
      <c r="I24" s="305"/>
      <c r="J24" s="306"/>
      <c r="K24" s="306"/>
      <c r="L24" s="306"/>
      <c r="M24" s="307"/>
      <c r="S24"/>
      <c r="T24"/>
      <c r="U24"/>
      <c r="V24"/>
      <c r="W24"/>
      <c r="X24"/>
      <c r="Y24"/>
      <c r="Z24"/>
      <c r="AA24"/>
      <c r="AB24" s="59"/>
      <c r="AC24" s="60"/>
      <c r="AD24"/>
      <c r="AE24"/>
      <c r="AF24"/>
      <c r="AG24"/>
      <c r="AH24"/>
      <c r="AI24"/>
      <c r="AJ24"/>
      <c r="AK24"/>
      <c r="AL24"/>
      <c r="AM24"/>
      <c r="AN24"/>
      <c r="AO24" s="61">
        <f>IF(AH14-AE14&lt;0,AE14-AH14,0)</f>
        <v>0</v>
      </c>
      <c r="AP24" s="61">
        <f>IF(AH14-AE14&gt;0,AH14-AE14,0)</f>
        <v>0</v>
      </c>
      <c r="AQ24" s="60"/>
    </row>
    <row r="25" spans="1:47" ht="15" customHeight="1" x14ac:dyDescent="0.2">
      <c r="A25" s="264"/>
      <c r="B25" s="62" t="s">
        <v>4</v>
      </c>
      <c r="C25" s="138" t="str">
        <f>'1-FC and Land Use Inputs'!D29</f>
        <v>E</v>
      </c>
      <c r="D25" s="138" t="str">
        <f>'Productivity calcs'!I41</f>
        <v>F</v>
      </c>
      <c r="F25" s="103"/>
      <c r="G25" s="299"/>
      <c r="H25" s="300"/>
      <c r="I25" s="308"/>
      <c r="J25" s="309"/>
      <c r="K25" s="309"/>
      <c r="L25" s="309"/>
      <c r="M25" s="310"/>
      <c r="S25"/>
      <c r="T25"/>
      <c r="U25"/>
      <c r="V25"/>
      <c r="W25"/>
      <c r="X25"/>
      <c r="Y25"/>
      <c r="Z25"/>
      <c r="AA25"/>
      <c r="AB25" s="59"/>
      <c r="AC25" s="60"/>
      <c r="AD25"/>
      <c r="AE25"/>
      <c r="AF25"/>
      <c r="AG25"/>
      <c r="AH25"/>
      <c r="AI25"/>
      <c r="AJ25"/>
      <c r="AK25"/>
      <c r="AL25"/>
      <c r="AM25"/>
      <c r="AN25"/>
      <c r="AO25" s="61">
        <f>IF(AH15-AE15&lt;0,AE15-AH15,0)</f>
        <v>1</v>
      </c>
      <c r="AP25" s="61">
        <f>IF(AH15-AE15&gt;0,AH15-AE15,0)</f>
        <v>0</v>
      </c>
      <c r="AQ25" s="60"/>
    </row>
    <row r="26" spans="1:47" ht="15" customHeight="1" x14ac:dyDescent="0.2">
      <c r="A26" s="264"/>
      <c r="B26" s="62" t="s">
        <v>5</v>
      </c>
      <c r="C26" s="138" t="str">
        <f>'1-FC and Land Use Inputs'!D30</f>
        <v>C</v>
      </c>
      <c r="D26" s="138" t="str">
        <f>'Productivity calcs'!I42</f>
        <v>F</v>
      </c>
      <c r="F26" s="103"/>
      <c r="G26" s="301" t="s">
        <v>73</v>
      </c>
      <c r="H26" s="301"/>
      <c r="I26" s="301" t="s">
        <v>88</v>
      </c>
      <c r="J26" s="301"/>
      <c r="K26" s="301"/>
      <c r="L26" s="301"/>
      <c r="M26" s="301"/>
      <c r="X26" s="61"/>
      <c r="Y26" s="61"/>
      <c r="Z26" s="61"/>
      <c r="AA26" s="59"/>
      <c r="AB26" s="59"/>
      <c r="AC26" s="60"/>
      <c r="AD26"/>
      <c r="AE26"/>
      <c r="AF26"/>
      <c r="AG26"/>
      <c r="AH26"/>
      <c r="AI26"/>
      <c r="AJ26"/>
      <c r="AK26"/>
      <c r="AL26"/>
      <c r="AM26"/>
      <c r="AN26"/>
      <c r="AO26" s="61">
        <f>IF(AH16-AE16&lt;0,AE16-AH16,0)</f>
        <v>3</v>
      </c>
      <c r="AP26" s="61">
        <f>IF(AH16-AE16&gt;0,AH16-AE16,0)</f>
        <v>0</v>
      </c>
      <c r="AQ26" s="60"/>
    </row>
    <row r="27" spans="1:47" ht="16" x14ac:dyDescent="0.2">
      <c r="A27" s="264"/>
      <c r="B27" s="62" t="s">
        <v>0</v>
      </c>
      <c r="C27" s="138" t="str">
        <f>'1-FC and Land Use Inputs'!D31</f>
        <v>D</v>
      </c>
      <c r="D27" s="138" t="str">
        <f>'Productivity calcs'!I45</f>
        <v>F</v>
      </c>
      <c r="F27" s="103"/>
      <c r="G27" s="301"/>
      <c r="H27" s="301"/>
      <c r="I27" s="301"/>
      <c r="J27" s="301"/>
      <c r="K27" s="301"/>
      <c r="L27" s="301"/>
      <c r="M27" s="301"/>
      <c r="X27" s="61"/>
      <c r="Y27" s="61"/>
      <c r="Z27" s="61"/>
      <c r="AA27" s="59"/>
      <c r="AB27" s="59"/>
      <c r="AC27" s="60"/>
      <c r="AD27"/>
      <c r="AE27"/>
      <c r="AF27"/>
      <c r="AG27"/>
      <c r="AH27"/>
      <c r="AI27"/>
      <c r="AJ27"/>
      <c r="AK27"/>
      <c r="AL27"/>
      <c r="AM27"/>
      <c r="AN27"/>
      <c r="AO27" s="61">
        <f>IF(AH17-AE17&lt;0,AE17-AH17,0)</f>
        <v>2</v>
      </c>
      <c r="AP27" s="61">
        <f>IF(AH17-AE17&gt;0,AH17-AE17,0)</f>
        <v>0</v>
      </c>
      <c r="AQ27" s="60"/>
    </row>
    <row r="28" spans="1:47" hidden="1" x14ac:dyDescent="0.2">
      <c r="A28" s="264"/>
      <c r="B28" s="62" t="s">
        <v>137</v>
      </c>
      <c r="C28" s="79"/>
      <c r="D28" s="100"/>
      <c r="E28" s="60"/>
      <c r="F28" s="103"/>
      <c r="G28" s="60"/>
      <c r="H28" s="60"/>
      <c r="I28" s="60"/>
      <c r="J28" s="60"/>
      <c r="K28" s="60"/>
      <c r="L28" s="60"/>
      <c r="M28" s="60"/>
      <c r="X28" s="61"/>
      <c r="Y28" s="61"/>
      <c r="Z28" s="61"/>
      <c r="AA28" s="59"/>
      <c r="AB28" s="59"/>
      <c r="AC28" s="60"/>
      <c r="AD28"/>
      <c r="AE28"/>
      <c r="AF28"/>
      <c r="AG28"/>
      <c r="AH28"/>
      <c r="AI28"/>
      <c r="AJ28"/>
      <c r="AK28"/>
      <c r="AL28"/>
      <c r="AM28"/>
      <c r="AN28"/>
      <c r="AO28" s="124">
        <f t="shared" ref="AO28:AO29" si="1">IF(AN28-AE18&lt;0,AE18-AN28,0)</f>
        <v>0</v>
      </c>
      <c r="AP28" s="124">
        <f t="shared" ref="AP28:AP29" si="2">IF(AN28-AE18&gt;0,AN28-AE18,0)</f>
        <v>0</v>
      </c>
      <c r="AQ28" s="121"/>
    </row>
    <row r="29" spans="1:47" hidden="1" x14ac:dyDescent="0.2">
      <c r="A29" s="264"/>
      <c r="B29" s="62" t="s">
        <v>138</v>
      </c>
      <c r="C29" s="79"/>
      <c r="D29" s="100"/>
      <c r="E29" s="60"/>
      <c r="F29" s="103"/>
      <c r="G29" s="60"/>
      <c r="H29" s="60"/>
      <c r="I29" s="60"/>
      <c r="J29" s="60"/>
      <c r="K29" s="60"/>
      <c r="L29" s="60"/>
      <c r="M29" s="60"/>
      <c r="X29" s="61"/>
      <c r="Y29" s="61"/>
      <c r="Z29" s="61"/>
      <c r="AA29" s="59"/>
      <c r="AB29" s="59"/>
      <c r="AC29" s="60"/>
      <c r="AD29"/>
      <c r="AE29"/>
      <c r="AF29"/>
      <c r="AG29"/>
      <c r="AH29"/>
      <c r="AI29"/>
      <c r="AJ29"/>
      <c r="AK29"/>
      <c r="AL29"/>
      <c r="AM29"/>
      <c r="AN29"/>
      <c r="AO29" s="124">
        <f t="shared" si="1"/>
        <v>0</v>
      </c>
      <c r="AP29" s="124">
        <f t="shared" si="2"/>
        <v>0</v>
      </c>
      <c r="AQ29" s="121"/>
    </row>
    <row r="30" spans="1:47" hidden="1" x14ac:dyDescent="0.2">
      <c r="B30" s="60"/>
      <c r="C30" s="60"/>
      <c r="D30" s="60"/>
      <c r="E30" s="60"/>
      <c r="F30" s="60"/>
      <c r="G30" s="60"/>
      <c r="H30" s="60"/>
      <c r="I30" s="60"/>
      <c r="J30" s="60"/>
      <c r="K30" s="60"/>
      <c r="L30" s="60"/>
      <c r="M30" s="60"/>
      <c r="X30" s="61"/>
      <c r="Y30" s="61"/>
      <c r="Z30" s="61"/>
      <c r="AA30" s="59"/>
      <c r="AB30" s="59"/>
      <c r="AC30" s="60"/>
      <c r="AD30"/>
      <c r="AE30"/>
      <c r="AF30"/>
      <c r="AG30"/>
      <c r="AH30"/>
      <c r="AI30"/>
      <c r="AJ30"/>
      <c r="AK30"/>
      <c r="AL30"/>
      <c r="AM30"/>
      <c r="AN30"/>
      <c r="AO30" s="122"/>
      <c r="AP30" s="122"/>
      <c r="AQ30" s="122"/>
      <c r="AR30" s="68"/>
      <c r="AS30" s="76"/>
      <c r="AT30" s="59"/>
      <c r="AU30" s="59"/>
    </row>
    <row r="31" spans="1:47" x14ac:dyDescent="0.2">
      <c r="B31" s="60"/>
      <c r="C31" s="60"/>
      <c r="D31" s="60"/>
      <c r="E31" s="60"/>
      <c r="F31" s="60"/>
      <c r="G31" s="60"/>
      <c r="H31" s="60"/>
      <c r="I31" s="60"/>
      <c r="J31" s="60"/>
      <c r="K31" s="60"/>
      <c r="L31" s="60"/>
      <c r="M31" s="60"/>
      <c r="X31" s="61"/>
      <c r="Y31" s="61"/>
      <c r="Z31" s="61"/>
      <c r="AA31" s="59"/>
      <c r="AB31" s="59"/>
      <c r="AC31" s="60"/>
      <c r="AD31"/>
      <c r="AE31"/>
      <c r="AF31"/>
      <c r="AG31"/>
      <c r="AH31"/>
      <c r="AI31"/>
      <c r="AJ31"/>
      <c r="AK31"/>
      <c r="AL31"/>
      <c r="AM31"/>
      <c r="AN31"/>
      <c r="AO31" s="60"/>
      <c r="AP31" s="59"/>
      <c r="AQ31" s="59"/>
      <c r="AR31" s="59"/>
    </row>
    <row r="32" spans="1:47" ht="77.25" customHeight="1" x14ac:dyDescent="0.2">
      <c r="B32" s="74" t="s">
        <v>30</v>
      </c>
      <c r="C32" s="268" t="s">
        <v>216</v>
      </c>
      <c r="D32" s="269"/>
      <c r="E32" s="269"/>
      <c r="F32" s="269"/>
      <c r="G32" s="269"/>
      <c r="H32" s="269"/>
      <c r="I32" s="269"/>
      <c r="J32" s="269"/>
      <c r="K32" s="269"/>
      <c r="L32" s="269"/>
      <c r="M32" s="270"/>
      <c r="Q32" s="104"/>
      <c r="X32" s="61"/>
      <c r="Y32" s="61"/>
      <c r="Z32" s="61"/>
      <c r="AA32" s="59"/>
      <c r="AB32" s="59"/>
      <c r="AC32" s="60"/>
      <c r="AD32"/>
      <c r="AE32"/>
      <c r="AF32"/>
      <c r="AG32"/>
      <c r="AH32"/>
      <c r="AI32"/>
      <c r="AJ32"/>
      <c r="AK32"/>
      <c r="AL32"/>
      <c r="AM32"/>
      <c r="AN32"/>
      <c r="AO32" s="60"/>
      <c r="AP32" s="59"/>
      <c r="AQ32" s="59"/>
      <c r="AR32" s="59"/>
    </row>
    <row r="33" spans="2:44" ht="37.5" customHeight="1" x14ac:dyDescent="0.2">
      <c r="B33" s="74" t="s">
        <v>31</v>
      </c>
      <c r="C33" s="246"/>
      <c r="D33" s="247"/>
      <c r="E33" s="247"/>
      <c r="F33" s="247"/>
      <c r="G33" s="247"/>
      <c r="H33" s="247"/>
      <c r="I33" s="247"/>
      <c r="J33" s="247"/>
      <c r="K33" s="247"/>
      <c r="L33" s="247"/>
      <c r="M33" s="248"/>
      <c r="X33" s="61"/>
      <c r="Y33" s="61"/>
      <c r="Z33" s="61"/>
      <c r="AA33" s="59"/>
      <c r="AB33" s="59"/>
      <c r="AC33" s="60"/>
      <c r="AD33"/>
      <c r="AE33"/>
      <c r="AF33"/>
      <c r="AG33"/>
      <c r="AH33"/>
      <c r="AI33"/>
      <c r="AJ33"/>
      <c r="AK33"/>
      <c r="AL33"/>
      <c r="AM33"/>
      <c r="AN33"/>
      <c r="AO33" s="69"/>
      <c r="AP33" s="59"/>
      <c r="AQ33" s="59"/>
      <c r="AR33" s="59"/>
    </row>
    <row r="34" spans="2:44" x14ac:dyDescent="0.2">
      <c r="M34" s="60"/>
      <c r="X34" s="61"/>
      <c r="Y34" s="61"/>
      <c r="Z34" s="61"/>
      <c r="AA34" s="59"/>
      <c r="AB34" s="59"/>
      <c r="AC34" s="60"/>
      <c r="AD34"/>
      <c r="AE34"/>
      <c r="AF34"/>
      <c r="AG34"/>
      <c r="AH34"/>
      <c r="AI34"/>
      <c r="AJ34"/>
      <c r="AK34"/>
      <c r="AL34"/>
      <c r="AM34"/>
      <c r="AN34"/>
      <c r="AO34" s="59"/>
      <c r="AP34" s="59"/>
    </row>
    <row r="35" spans="2:44" hidden="1" x14ac:dyDescent="0.2">
      <c r="M35" s="60"/>
      <c r="X35" s="61"/>
      <c r="Y35" s="61"/>
      <c r="Z35" s="61"/>
      <c r="AA35" s="59"/>
      <c r="AB35" s="59"/>
      <c r="AC35" s="68"/>
      <c r="AD35"/>
      <c r="AE35"/>
      <c r="AF35"/>
      <c r="AG35"/>
      <c r="AH35"/>
      <c r="AI35"/>
      <c r="AJ35"/>
      <c r="AK35"/>
      <c r="AL35"/>
      <c r="AM35"/>
      <c r="AN35"/>
      <c r="AO35" s="59"/>
      <c r="AP35" s="59"/>
    </row>
    <row r="36" spans="2:44" hidden="1" x14ac:dyDescent="0.2">
      <c r="M36" s="60"/>
      <c r="X36" s="61"/>
      <c r="Y36" s="61"/>
      <c r="Z36" s="61"/>
      <c r="AA36" s="59"/>
      <c r="AB36" s="59"/>
      <c r="AC36" s="68"/>
      <c r="AD36"/>
      <c r="AE36"/>
      <c r="AF36"/>
      <c r="AG36"/>
      <c r="AH36"/>
      <c r="AI36"/>
      <c r="AJ36"/>
      <c r="AK36"/>
      <c r="AL36"/>
      <c r="AM36"/>
      <c r="AN36"/>
      <c r="AO36" s="59"/>
      <c r="AP36" s="59"/>
    </row>
    <row r="37" spans="2:44" hidden="1" x14ac:dyDescent="0.2">
      <c r="M37" s="60"/>
      <c r="X37" s="61"/>
      <c r="Y37" s="61"/>
      <c r="Z37" s="61"/>
      <c r="AA37" s="59"/>
      <c r="AB37" s="59"/>
      <c r="AC37" s="68"/>
      <c r="AD37"/>
      <c r="AE37"/>
      <c r="AF37"/>
      <c r="AG37"/>
      <c r="AH37"/>
      <c r="AI37"/>
      <c r="AJ37"/>
      <c r="AK37"/>
      <c r="AL37"/>
      <c r="AM37"/>
      <c r="AN37"/>
      <c r="AO37" s="123"/>
      <c r="AP37" s="123"/>
      <c r="AQ37" s="123"/>
    </row>
    <row r="38" spans="2:44" ht="30" customHeight="1" thickBot="1" x14ac:dyDescent="0.25">
      <c r="B38" s="263" t="s">
        <v>71</v>
      </c>
      <c r="C38" s="263"/>
      <c r="D38" s="263"/>
      <c r="E38" s="252" t="s">
        <v>72</v>
      </c>
      <c r="F38" s="253"/>
      <c r="G38" s="253"/>
      <c r="H38" s="253"/>
      <c r="I38" s="253"/>
      <c r="J38" s="253"/>
      <c r="K38" s="253"/>
      <c r="L38" s="254"/>
      <c r="M38" s="60"/>
      <c r="X38" s="61"/>
      <c r="Y38" s="61"/>
      <c r="Z38" s="61"/>
      <c r="AA38" s="59"/>
      <c r="AB38" s="59"/>
      <c r="AC38" s="60"/>
      <c r="AD38"/>
      <c r="AE38"/>
      <c r="AF38"/>
      <c r="AG38"/>
      <c r="AH38"/>
      <c r="AI38"/>
      <c r="AJ38"/>
      <c r="AK38"/>
      <c r="AL38"/>
      <c r="AM38"/>
      <c r="AN38"/>
      <c r="AO38"/>
      <c r="AP38"/>
      <c r="AQ38"/>
    </row>
    <row r="39" spans="2:44" ht="17.25" customHeight="1" x14ac:dyDescent="0.2">
      <c r="B39" s="286" t="str">
        <f>'NOP Tool lookups'!C22</f>
        <v>Future Connect Fit Assessment Result</v>
      </c>
      <c r="C39" s="287"/>
      <c r="D39" s="288"/>
      <c r="E39" s="249" t="s">
        <v>203</v>
      </c>
      <c r="F39" s="250"/>
      <c r="G39" s="250"/>
      <c r="H39" s="250"/>
      <c r="I39" s="250"/>
      <c r="J39" s="250"/>
      <c r="K39" s="251"/>
      <c r="L39" s="101" t="str">
        <f t="shared" ref="L39:L44" si="3">IF(AB39=1,"ü","û")</f>
        <v>û</v>
      </c>
      <c r="M39" s="60"/>
      <c r="X39" s="61"/>
      <c r="Y39" s="61"/>
      <c r="Z39" s="61"/>
      <c r="AA39" s="283" t="s">
        <v>195</v>
      </c>
      <c r="AB39" s="127">
        <f>IF(AK21&gt;0,IF(AL21=0,1,0),0)</f>
        <v>0</v>
      </c>
      <c r="AC39" s="128" t="str">
        <f>IF(AB39=1,"True","False")</f>
        <v>False</v>
      </c>
      <c r="AD39"/>
      <c r="AE39"/>
      <c r="AF39"/>
      <c r="AG39"/>
      <c r="AH39"/>
      <c r="AI39"/>
      <c r="AJ39"/>
      <c r="AK39"/>
      <c r="AL39"/>
      <c r="AM39"/>
      <c r="AN39"/>
      <c r="AO39"/>
      <c r="AP39"/>
      <c r="AQ39"/>
    </row>
    <row r="40" spans="2:44" ht="15.5" customHeight="1" x14ac:dyDescent="0.2">
      <c r="B40" s="289"/>
      <c r="C40" s="290"/>
      <c r="D40" s="291"/>
      <c r="E40" s="249" t="s">
        <v>204</v>
      </c>
      <c r="F40" s="250"/>
      <c r="G40" s="250"/>
      <c r="H40" s="250"/>
      <c r="I40" s="250"/>
      <c r="J40" s="250"/>
      <c r="K40" s="251"/>
      <c r="L40" s="101" t="str">
        <f t="shared" si="3"/>
        <v>û</v>
      </c>
      <c r="X40" s="61"/>
      <c r="Y40" s="61"/>
      <c r="Z40" s="61"/>
      <c r="AA40" s="284"/>
      <c r="AB40" s="134">
        <f>IF(AJ21&gt;0,1,0)</f>
        <v>0</v>
      </c>
      <c r="AC40" s="271" t="str">
        <f>IF(AB40+AB41=2,"True","False")</f>
        <v>False</v>
      </c>
      <c r="AD40"/>
      <c r="AE40"/>
      <c r="AF40"/>
      <c r="AG40"/>
      <c r="AH40"/>
      <c r="AI40"/>
      <c r="AJ40"/>
      <c r="AK40"/>
      <c r="AL40"/>
      <c r="AM40"/>
      <c r="AN40"/>
      <c r="AO40"/>
      <c r="AP40"/>
      <c r="AQ40"/>
    </row>
    <row r="41" spans="2:44" ht="15.5" customHeight="1" thickBot="1" x14ac:dyDescent="0.25">
      <c r="B41" s="292"/>
      <c r="C41" s="293"/>
      <c r="D41" s="294"/>
      <c r="E41" s="249" t="s">
        <v>202</v>
      </c>
      <c r="F41" s="250"/>
      <c r="G41" s="250"/>
      <c r="H41" s="250"/>
      <c r="I41" s="250"/>
      <c r="J41" s="250"/>
      <c r="K41" s="251"/>
      <c r="L41" s="101" t="str">
        <f t="shared" si="3"/>
        <v>û</v>
      </c>
      <c r="X41" s="61"/>
      <c r="Y41" s="61"/>
      <c r="Z41" s="61"/>
      <c r="AA41" s="285"/>
      <c r="AB41" s="129">
        <f>IF(MIN(AJ13:AJ17)&lt;0,0,1)</f>
        <v>0</v>
      </c>
      <c r="AC41" s="272"/>
      <c r="AD41"/>
      <c r="AE41"/>
      <c r="AF41"/>
      <c r="AG41"/>
      <c r="AH41"/>
      <c r="AI41"/>
      <c r="AJ41"/>
      <c r="AK41"/>
      <c r="AL41"/>
      <c r="AM41"/>
      <c r="AN41"/>
      <c r="AO41"/>
      <c r="AP41"/>
      <c r="AQ41"/>
    </row>
    <row r="42" spans="2:44" ht="14.5" customHeight="1" x14ac:dyDescent="0.2">
      <c r="B42" s="275" t="str">
        <f>'NOP Tool lookups'!$C$24</f>
        <v>Moderate likelihood of supporting the Auckland Network Operating Plan (ANOP) and Future Connect</v>
      </c>
      <c r="C42" s="276"/>
      <c r="D42" s="277"/>
      <c r="E42" s="249" t="s">
        <v>205</v>
      </c>
      <c r="F42" s="250"/>
      <c r="G42" s="250"/>
      <c r="H42" s="250"/>
      <c r="I42" s="250"/>
      <c r="J42" s="250"/>
      <c r="K42" s="251"/>
      <c r="L42" s="101" t="str">
        <f t="shared" si="3"/>
        <v>û</v>
      </c>
      <c r="X42" s="61"/>
      <c r="Y42" s="61"/>
      <c r="Z42" s="61"/>
      <c r="AA42" s="281" t="s">
        <v>196</v>
      </c>
      <c r="AB42" s="133">
        <f>AB40</f>
        <v>0</v>
      </c>
      <c r="AC42" s="135" t="str">
        <f>IF(AB42=1,"True","False")</f>
        <v>False</v>
      </c>
      <c r="AD42"/>
      <c r="AE42"/>
      <c r="AF42"/>
      <c r="AG42"/>
      <c r="AH42"/>
      <c r="AI42"/>
      <c r="AJ42"/>
      <c r="AK42"/>
      <c r="AL42"/>
      <c r="AM42"/>
      <c r="AN42"/>
      <c r="AO42"/>
      <c r="AP42"/>
      <c r="AQ42"/>
    </row>
    <row r="43" spans="2:44" ht="30" customHeight="1" thickBot="1" x14ac:dyDescent="0.25">
      <c r="B43" s="278"/>
      <c r="C43" s="279"/>
      <c r="D43" s="280"/>
      <c r="E43" s="249" t="s">
        <v>201</v>
      </c>
      <c r="F43" s="250"/>
      <c r="G43" s="250"/>
      <c r="H43" s="250"/>
      <c r="I43" s="250"/>
      <c r="J43" s="250"/>
      <c r="K43" s="251"/>
      <c r="L43" s="101" t="str">
        <f t="shared" si="3"/>
        <v>û</v>
      </c>
      <c r="X43" s="61"/>
      <c r="Y43" s="61"/>
      <c r="Z43" s="61"/>
      <c r="AA43" s="282"/>
      <c r="AB43" s="129">
        <f>IF(AJ21=0,IF(AK21&gt;0,1,0),0)</f>
        <v>0</v>
      </c>
      <c r="AC43" s="135" t="str">
        <f>IF(AB43=1,"True","False")</f>
        <v>False</v>
      </c>
      <c r="AD43"/>
      <c r="AE43"/>
      <c r="AF43"/>
      <c r="AG43"/>
      <c r="AH43"/>
      <c r="AI43"/>
      <c r="AJ43"/>
      <c r="AK43"/>
      <c r="AL43"/>
      <c r="AM43"/>
      <c r="AN43"/>
      <c r="AO43"/>
      <c r="AP43"/>
      <c r="AQ43"/>
    </row>
    <row r="44" spans="2:44" ht="30.5" customHeight="1" thickBot="1" x14ac:dyDescent="0.25">
      <c r="B44" s="273" t="s">
        <v>76</v>
      </c>
      <c r="C44" s="273"/>
      <c r="D44" s="274"/>
      <c r="E44" s="255" t="s">
        <v>70</v>
      </c>
      <c r="F44" s="256"/>
      <c r="G44" s="256"/>
      <c r="H44" s="256"/>
      <c r="I44" s="256"/>
      <c r="J44" s="256"/>
      <c r="K44" s="257"/>
      <c r="L44" s="101" t="str">
        <f t="shared" si="3"/>
        <v>ü</v>
      </c>
      <c r="X44" s="61"/>
      <c r="Y44" s="61"/>
      <c r="Z44" s="61"/>
      <c r="AA44" s="130" t="s">
        <v>197</v>
      </c>
      <c r="AB44" s="131">
        <f>IF(AC39="True",0,IF(AC40="True",0,IF(AC42="True",0,IF(AC43="True",0,1))))</f>
        <v>1</v>
      </c>
      <c r="AC44" s="132" t="str">
        <f>IF(AB44=1,"True","False")</f>
        <v>True</v>
      </c>
      <c r="AD44"/>
      <c r="AE44"/>
      <c r="AF44"/>
      <c r="AG44"/>
      <c r="AH44"/>
      <c r="AI44"/>
      <c r="AJ44"/>
      <c r="AK44"/>
      <c r="AL44"/>
      <c r="AM44"/>
      <c r="AN44"/>
      <c r="AO44"/>
      <c r="AP44"/>
      <c r="AQ44"/>
    </row>
    <row r="45" spans="2:44" ht="29.5" customHeight="1" x14ac:dyDescent="0.2">
      <c r="M45" s="60"/>
      <c r="N45" s="60"/>
      <c r="O45" s="60"/>
      <c r="P45" s="60"/>
      <c r="Q45" s="60"/>
      <c r="R45" s="60"/>
      <c r="X45" s="59"/>
      <c r="Y45" s="59"/>
      <c r="Z45" s="59"/>
      <c r="AA45" s="117"/>
      <c r="AB45" s="125" t="s">
        <v>124</v>
      </c>
      <c r="AC45" s="126" t="str">
        <f>IF(AC39="True","H",IF(AC40="True","H",IF(AC42="True","M",IF(AC43="True","M","L"))))</f>
        <v>L</v>
      </c>
      <c r="AD45"/>
      <c r="AE45"/>
      <c r="AF45"/>
      <c r="AG45"/>
      <c r="AH45"/>
      <c r="AI45"/>
      <c r="AJ45"/>
      <c r="AK45"/>
      <c r="AL45"/>
      <c r="AN45" s="59"/>
      <c r="AO45" s="59"/>
      <c r="AP45" s="59"/>
    </row>
    <row r="46" spans="2:44" ht="14.5" customHeight="1" x14ac:dyDescent="0.2">
      <c r="B46" s="259" t="s">
        <v>214</v>
      </c>
      <c r="C46" s="260"/>
      <c r="D46" s="260"/>
      <c r="M46" s="60"/>
      <c r="N46" s="60"/>
      <c r="O46" s="60"/>
      <c r="P46" s="60"/>
      <c r="Q46" s="60"/>
      <c r="R46" s="60"/>
      <c r="X46" s="59"/>
      <c r="Y46" s="59"/>
      <c r="Z46" s="59"/>
      <c r="AA46" s="59"/>
      <c r="AD46" s="59"/>
      <c r="AE46" s="59"/>
      <c r="AF46" s="59"/>
      <c r="AG46" s="59"/>
      <c r="AH46" s="59"/>
      <c r="AI46" s="59"/>
      <c r="AJ46" s="111"/>
      <c r="AK46" s="59"/>
      <c r="AN46" s="59"/>
      <c r="AO46" s="59"/>
      <c r="AP46" s="59"/>
    </row>
    <row r="47" spans="2:44" x14ac:dyDescent="0.2">
      <c r="B47" s="236" t="s">
        <v>210</v>
      </c>
      <c r="C47" s="237"/>
      <c r="D47" s="237"/>
      <c r="N47" s="60"/>
      <c r="O47" s="60"/>
      <c r="P47" s="60"/>
      <c r="Q47" s="60"/>
      <c r="R47" s="60"/>
      <c r="X47" s="59"/>
      <c r="Y47" s="59"/>
      <c r="Z47" s="59"/>
      <c r="AA47" s="59"/>
      <c r="AB47" s="59"/>
      <c r="AC47" s="59"/>
      <c r="AD47" s="59"/>
      <c r="AE47" s="59"/>
      <c r="AF47" s="59"/>
      <c r="AG47" s="59"/>
      <c r="AH47" s="59"/>
      <c r="AI47" s="59"/>
      <c r="AJ47" s="111"/>
      <c r="AK47" s="59"/>
      <c r="AN47" s="59"/>
      <c r="AO47" s="59"/>
      <c r="AP47" s="59"/>
    </row>
    <row r="48" spans="2:44" x14ac:dyDescent="0.2">
      <c r="B48" s="238" t="s">
        <v>209</v>
      </c>
      <c r="C48" s="238"/>
      <c r="D48" s="238"/>
      <c r="N48" s="60"/>
      <c r="O48" s="60"/>
      <c r="P48" s="60"/>
      <c r="Q48" s="60"/>
      <c r="R48" s="60"/>
      <c r="X48" s="59"/>
      <c r="Y48" s="59"/>
      <c r="Z48" s="59"/>
      <c r="AA48" s="59"/>
      <c r="AB48" s="59"/>
      <c r="AC48" s="59"/>
      <c r="AD48" s="59"/>
      <c r="AE48" s="59"/>
      <c r="AF48" s="59"/>
      <c r="AG48" s="59"/>
      <c r="AH48" s="59"/>
      <c r="AI48" s="59"/>
      <c r="AJ48" s="111"/>
      <c r="AK48" s="59"/>
      <c r="AN48" s="59"/>
      <c r="AO48" s="59"/>
      <c r="AP48" s="59"/>
    </row>
    <row r="49" spans="1:42" ht="14.5" customHeight="1" x14ac:dyDescent="0.2">
      <c r="N49" s="60"/>
      <c r="O49" s="60"/>
      <c r="P49" s="60"/>
      <c r="Q49" s="60"/>
      <c r="R49" s="60"/>
      <c r="X49" s="59"/>
      <c r="Y49" s="59"/>
      <c r="Z49" s="59"/>
      <c r="AA49" s="59"/>
      <c r="AB49" s="59"/>
      <c r="AC49" s="59"/>
      <c r="AD49" s="59"/>
      <c r="AE49" s="59"/>
      <c r="AF49" s="59"/>
      <c r="AG49" s="59"/>
      <c r="AH49" s="59"/>
      <c r="AI49" s="59"/>
      <c r="AJ49" s="111"/>
      <c r="AK49" s="59"/>
      <c r="AN49" s="59"/>
      <c r="AO49" s="59"/>
      <c r="AP49" s="59"/>
    </row>
    <row r="50" spans="1:42" ht="14.5" customHeight="1" x14ac:dyDescent="0.2">
      <c r="B50" s="80"/>
      <c r="C50" s="80" t="s">
        <v>200</v>
      </c>
      <c r="D50" s="99" t="s">
        <v>160</v>
      </c>
      <c r="N50" s="60"/>
      <c r="O50" s="60"/>
      <c r="P50" s="60"/>
      <c r="Q50" s="60"/>
      <c r="R50" s="60"/>
      <c r="X50" s="59"/>
      <c r="Y50" s="59"/>
      <c r="Z50" s="59"/>
      <c r="AA50" s="59"/>
      <c r="AB50" s="59"/>
      <c r="AC50" s="59"/>
      <c r="AD50" s="59"/>
      <c r="AE50" s="59"/>
      <c r="AF50" s="59"/>
      <c r="AG50" s="59"/>
      <c r="AH50" s="59"/>
      <c r="AI50" s="59"/>
      <c r="AJ50" s="111"/>
      <c r="AK50" s="59"/>
      <c r="AN50" s="59"/>
      <c r="AO50" s="59"/>
      <c r="AP50" s="59"/>
    </row>
    <row r="51" spans="1:42" x14ac:dyDescent="0.2">
      <c r="B51"/>
      <c r="C51"/>
      <c r="D51"/>
      <c r="E51"/>
      <c r="F51"/>
      <c r="G51"/>
      <c r="H51"/>
      <c r="I51"/>
      <c r="J51"/>
      <c r="K51"/>
      <c r="L51"/>
      <c r="X51" s="59"/>
      <c r="Y51" s="59"/>
      <c r="Z51" s="59"/>
      <c r="AA51" s="59"/>
      <c r="AB51" s="59"/>
      <c r="AC51" s="59"/>
      <c r="AD51" s="59"/>
      <c r="AE51" s="59"/>
      <c r="AF51" s="59"/>
      <c r="AG51" s="59"/>
      <c r="AH51" s="59"/>
      <c r="AI51" s="59"/>
      <c r="AJ51" s="111"/>
      <c r="AK51" s="59"/>
      <c r="AN51" s="59"/>
      <c r="AO51" s="59"/>
      <c r="AP51" s="59"/>
    </row>
    <row r="52" spans="1:42" x14ac:dyDescent="0.2">
      <c r="B52" s="73"/>
      <c r="C52" s="73"/>
      <c r="D52" s="73"/>
      <c r="E52" s="73"/>
      <c r="F52" s="73"/>
      <c r="G52" s="76"/>
      <c r="X52" s="59"/>
      <c r="Y52" s="59"/>
      <c r="Z52" s="59"/>
      <c r="AA52" s="59"/>
      <c r="AB52" s="59"/>
      <c r="AC52" s="59"/>
      <c r="AD52" s="59"/>
      <c r="AE52" s="59"/>
      <c r="AF52" s="59"/>
      <c r="AG52" s="59"/>
      <c r="AH52" s="59"/>
      <c r="AI52" s="59"/>
      <c r="AJ52" s="111"/>
      <c r="AK52" s="59"/>
      <c r="AN52" s="59"/>
      <c r="AO52" s="59"/>
      <c r="AP52" s="59"/>
    </row>
    <row r="53" spans="1:42" x14ac:dyDescent="0.2">
      <c r="B53" s="73"/>
      <c r="C53" s="73"/>
      <c r="D53" s="73"/>
      <c r="E53" s="73"/>
      <c r="F53" s="73"/>
      <c r="G53" s="76"/>
      <c r="M53"/>
      <c r="X53" s="59"/>
      <c r="Y53" s="59"/>
      <c r="Z53" s="59"/>
      <c r="AA53" s="59"/>
      <c r="AB53" s="59"/>
      <c r="AC53" s="59"/>
      <c r="AD53" s="59"/>
      <c r="AE53" s="59"/>
      <c r="AF53" s="59"/>
      <c r="AG53" s="59"/>
      <c r="AH53" s="59"/>
      <c r="AI53" s="59"/>
      <c r="AJ53" s="111"/>
      <c r="AK53" s="59"/>
      <c r="AN53" s="59"/>
      <c r="AO53" s="59"/>
      <c r="AP53" s="59"/>
    </row>
    <row r="54" spans="1:42" x14ac:dyDescent="0.2">
      <c r="B54" s="80"/>
      <c r="C54" s="81"/>
    </row>
    <row r="55" spans="1:42" ht="6" customHeight="1" x14ac:dyDescent="0.2">
      <c r="B55" s="80"/>
      <c r="C55" s="81"/>
      <c r="L55" s="58"/>
    </row>
    <row r="56" spans="1:42" x14ac:dyDescent="0.2">
      <c r="B56" s="80"/>
      <c r="C56" s="81"/>
      <c r="F56" s="76"/>
      <c r="G56" s="76"/>
      <c r="H56" s="76"/>
      <c r="I56" s="76"/>
      <c r="J56" s="76"/>
      <c r="K56" s="76"/>
      <c r="L56" s="77"/>
      <c r="X56" s="59"/>
      <c r="Y56" s="59"/>
      <c r="Z56" s="59"/>
      <c r="AA56" s="59"/>
      <c r="AB56" s="59"/>
      <c r="AC56" s="59"/>
      <c r="AD56" s="59"/>
      <c r="AE56" s="59"/>
      <c r="AF56" s="59"/>
      <c r="AG56" s="59"/>
      <c r="AH56" s="59"/>
      <c r="AI56" s="59"/>
      <c r="AJ56" s="111"/>
      <c r="AK56" s="59"/>
      <c r="AN56" s="59"/>
      <c r="AO56" s="59"/>
      <c r="AP56" s="59"/>
    </row>
    <row r="57" spans="1:42" customFormat="1" ht="6" customHeight="1" x14ac:dyDescent="0.2">
      <c r="B57" s="75"/>
      <c r="C57" s="75"/>
      <c r="D57" s="56"/>
      <c r="E57" s="56"/>
      <c r="F57" s="76"/>
      <c r="G57" s="76"/>
      <c r="H57" s="76"/>
      <c r="I57" s="76"/>
      <c r="J57" s="76"/>
      <c r="K57" s="76"/>
      <c r="L57" s="56"/>
      <c r="M57" s="58"/>
      <c r="AJ57" s="116"/>
      <c r="AL57" s="89"/>
      <c r="AM57" s="89"/>
    </row>
    <row r="58" spans="1:42" x14ac:dyDescent="0.2">
      <c r="A58" s="73"/>
      <c r="M58" s="77"/>
      <c r="N58" s="56"/>
      <c r="O58" s="56"/>
      <c r="P58" s="56"/>
      <c r="Q58" s="59"/>
      <c r="R58" s="59"/>
      <c r="S58" s="59"/>
      <c r="T58" s="59"/>
      <c r="U58" s="59"/>
      <c r="V58" s="59"/>
      <c r="W58" s="59"/>
      <c r="X58" s="59"/>
      <c r="Y58" s="59"/>
      <c r="Z58" s="59"/>
      <c r="AA58" s="59"/>
      <c r="AB58" s="59"/>
    </row>
    <row r="59" spans="1:42" x14ac:dyDescent="0.2">
      <c r="A59" s="73"/>
      <c r="B59" s="58"/>
      <c r="C59" s="58"/>
      <c r="D59" s="58"/>
      <c r="E59" s="58"/>
      <c r="F59" s="58"/>
      <c r="G59" s="58"/>
      <c r="H59" s="58"/>
      <c r="I59" s="58"/>
      <c r="J59" s="58"/>
      <c r="K59" s="58"/>
      <c r="N59" s="56"/>
      <c r="O59" s="56"/>
      <c r="P59" s="56"/>
      <c r="Q59" s="56"/>
      <c r="R59" s="56"/>
      <c r="S59" s="56"/>
    </row>
    <row r="60" spans="1:42" x14ac:dyDescent="0.2">
      <c r="B60" s="58"/>
      <c r="C60" s="58"/>
      <c r="D60" s="58"/>
      <c r="E60" s="58"/>
      <c r="F60" s="77"/>
      <c r="G60" s="77"/>
      <c r="H60" s="77"/>
      <c r="I60" s="77"/>
      <c r="J60" s="77"/>
      <c r="K60" s="77"/>
    </row>
    <row r="61" spans="1:42" x14ac:dyDescent="0.2">
      <c r="B61" s="78"/>
      <c r="C61" s="78"/>
      <c r="N61" s="58"/>
      <c r="O61" s="58"/>
      <c r="P61" s="58"/>
      <c r="Q61" s="58"/>
      <c r="R61" s="58"/>
      <c r="S61" s="58"/>
      <c r="T61" s="58"/>
      <c r="U61" s="58"/>
      <c r="V61" s="58"/>
    </row>
    <row r="62" spans="1:42" x14ac:dyDescent="0.2">
      <c r="B62" s="78"/>
      <c r="C62" s="78"/>
      <c r="N62" s="77"/>
      <c r="O62" s="77"/>
      <c r="P62" s="77"/>
      <c r="Q62" s="77"/>
      <c r="R62" s="77"/>
      <c r="S62" s="77"/>
      <c r="T62" s="77"/>
      <c r="U62" s="77"/>
      <c r="V62" s="77"/>
    </row>
    <row r="63" spans="1:42" x14ac:dyDescent="0.2">
      <c r="B63" s="78"/>
      <c r="C63" s="78"/>
    </row>
    <row r="64" spans="1:42" x14ac:dyDescent="0.2">
      <c r="B64" s="78"/>
      <c r="C64" s="78"/>
    </row>
    <row r="65" spans="2:10" x14ac:dyDescent="0.2">
      <c r="B65" s="78"/>
      <c r="C65" s="78"/>
    </row>
    <row r="66" spans="2:10" x14ac:dyDescent="0.2">
      <c r="B66" s="78"/>
      <c r="C66" s="78"/>
      <c r="F66" s="76"/>
      <c r="G66" s="76"/>
      <c r="H66" s="76"/>
      <c r="I66" s="76"/>
      <c r="J66" s="76"/>
    </row>
    <row r="67" spans="2:10" x14ac:dyDescent="0.2">
      <c r="B67" s="78"/>
      <c r="C67" s="78"/>
      <c r="F67" s="76"/>
      <c r="G67" s="76"/>
      <c r="H67" s="76"/>
      <c r="I67" s="76"/>
      <c r="J67" s="76"/>
    </row>
    <row r="68" spans="2:10" x14ac:dyDescent="0.2">
      <c r="B68" s="78"/>
      <c r="C68" s="78"/>
      <c r="F68" s="76"/>
      <c r="G68" s="76"/>
      <c r="H68" s="76"/>
      <c r="I68" s="76"/>
      <c r="J68" s="76"/>
    </row>
    <row r="69" spans="2:10" x14ac:dyDescent="0.2">
      <c r="B69" s="78"/>
      <c r="C69" s="78"/>
      <c r="F69" s="76"/>
      <c r="G69" s="76"/>
      <c r="H69" s="76"/>
      <c r="I69" s="76"/>
      <c r="J69" s="76"/>
    </row>
    <row r="70" spans="2:10" x14ac:dyDescent="0.2">
      <c r="B70" s="78"/>
      <c r="C70" s="78"/>
      <c r="F70" s="76"/>
      <c r="G70" s="76"/>
      <c r="H70" s="76"/>
      <c r="I70" s="76"/>
      <c r="J70" s="76"/>
    </row>
  </sheetData>
  <sheetProtection selectLockedCells="1"/>
  <mergeCells count="45">
    <mergeCell ref="A1:K1"/>
    <mergeCell ref="A2:K2"/>
    <mergeCell ref="A3:D3"/>
    <mergeCell ref="A4:D4"/>
    <mergeCell ref="A6:A10"/>
    <mergeCell ref="C6:D6"/>
    <mergeCell ref="C7:D7"/>
    <mergeCell ref="C8:D8"/>
    <mergeCell ref="C9:D9"/>
    <mergeCell ref="C10:D10"/>
    <mergeCell ref="C12:D12"/>
    <mergeCell ref="A13:A20"/>
    <mergeCell ref="C13:D13"/>
    <mergeCell ref="C14:D14"/>
    <mergeCell ref="C15:D15"/>
    <mergeCell ref="C16:D16"/>
    <mergeCell ref="C17:D17"/>
    <mergeCell ref="C18:D18"/>
    <mergeCell ref="C19:D19"/>
    <mergeCell ref="C20:D20"/>
    <mergeCell ref="AP21:AQ21"/>
    <mergeCell ref="A23:A29"/>
    <mergeCell ref="G23:H25"/>
    <mergeCell ref="I23:M25"/>
    <mergeCell ref="G26:H27"/>
    <mergeCell ref="I26:M27"/>
    <mergeCell ref="C32:M32"/>
    <mergeCell ref="C33:M33"/>
    <mergeCell ref="B38:D38"/>
    <mergeCell ref="E38:L38"/>
    <mergeCell ref="B39:D41"/>
    <mergeCell ref="E39:K39"/>
    <mergeCell ref="AA39:AA41"/>
    <mergeCell ref="E40:K40"/>
    <mergeCell ref="AC40:AC41"/>
    <mergeCell ref="E41:K41"/>
    <mergeCell ref="B42:D43"/>
    <mergeCell ref="E42:K42"/>
    <mergeCell ref="AA42:AA43"/>
    <mergeCell ref="E43:K43"/>
    <mergeCell ref="B44:D44"/>
    <mergeCell ref="E44:K44"/>
    <mergeCell ref="B46:D46"/>
    <mergeCell ref="B47:D47"/>
    <mergeCell ref="B48:D48"/>
  </mergeCells>
  <conditionalFormatting sqref="E39:L39">
    <cfRule type="expression" dxfId="12" priority="8">
      <formula>$AC$39="True"</formula>
    </cfRule>
  </conditionalFormatting>
  <conditionalFormatting sqref="E40:L41">
    <cfRule type="expression" dxfId="11" priority="7">
      <formula>$AC$40="True"</formula>
    </cfRule>
  </conditionalFormatting>
  <conditionalFormatting sqref="E42:L42">
    <cfRule type="expression" dxfId="10" priority="6">
      <formula>$AC$42="True"</formula>
    </cfRule>
  </conditionalFormatting>
  <conditionalFormatting sqref="E42:L43">
    <cfRule type="expression" dxfId="9" priority="4">
      <formula>$AC$45="L"</formula>
    </cfRule>
  </conditionalFormatting>
  <conditionalFormatting sqref="E42:L44">
    <cfRule type="expression" dxfId="8" priority="2">
      <formula>$AC$45="H"</formula>
    </cfRule>
  </conditionalFormatting>
  <conditionalFormatting sqref="E43:L43">
    <cfRule type="expression" dxfId="7" priority="5">
      <formula>$AC$43="True"</formula>
    </cfRule>
  </conditionalFormatting>
  <conditionalFormatting sqref="E44:L44">
    <cfRule type="expression" dxfId="6" priority="1">
      <formula>$AC$45="L"</formula>
    </cfRule>
    <cfRule type="expression" dxfId="5" priority="3">
      <formula>$AC$45="M"</formula>
    </cfRule>
  </conditionalFormatting>
  <conditionalFormatting sqref="F12">
    <cfRule type="expression" dxfId="4" priority="9">
      <formula>$D$50="Yes"</formula>
    </cfRule>
  </conditionalFormatting>
  <conditionalFormatting sqref="F13:F17">
    <cfRule type="expression" dxfId="3" priority="10">
      <formula>$D$50="Yes"</formula>
    </cfRule>
  </conditionalFormatting>
  <conditionalFormatting sqref="I23">
    <cfRule type="expression" dxfId="2" priority="11">
      <formula>$AC$45="H"</formula>
    </cfRule>
    <cfRule type="expression" dxfId="1" priority="12">
      <formula>$AC$45="M"</formula>
    </cfRule>
    <cfRule type="expression" dxfId="0" priority="13">
      <formula>$AC$45="L"</formula>
    </cfRule>
  </conditionalFormatting>
  <dataValidations count="1">
    <dataValidation type="list" allowBlank="1" showInputMessage="1" showErrorMessage="1" sqref="F66:J70 F56:K57 B52:G53 A58:A59" xr:uid="{B99F1743-1DD0-4442-ADCC-F7609F089257}">
      <formula1>"A,B,C,D,E,F"</formula1>
    </dataValidation>
  </dataValidations>
  <hyperlinks>
    <hyperlink ref="C12" r:id="rId1" display="Future Connect Network Hierarchy" xr:uid="{848BB667-2AC4-4B13-AEB7-E3D153CF0DF6}"/>
    <hyperlink ref="B48:D48" r:id="rId2" display="   Application of the Auckland Network Operating Plan" xr:uid="{7E0EEE79-22C1-4A73-BEC8-D30871A5C90F}"/>
    <hyperlink ref="A3" r:id="rId3" display="For more information about the Auckland Network Operating Plan" xr:uid="{11EE0697-5358-419E-B9AE-DC6494E23B19}"/>
    <hyperlink ref="A4" r:id="rId4" xr:uid="{7704E43D-78AD-43F8-80BE-C2C6EFE06AC6}"/>
  </hyperlinks>
  <printOptions horizontalCentered="1"/>
  <pageMargins left="0.23622047244094491" right="0.23622047244094491" top="0.74803149606299213" bottom="0.74803149606299213" header="0.31496062992125984" footer="0.31496062992125984"/>
  <pageSetup paperSize="9" scale="78" orientation="landscape" horizontalDpi="1200" verticalDpi="1200" r:id="rId5"/>
  <drawing r:id="rId6"/>
  <extLst>
    <ext xmlns:x14="http://schemas.microsoft.com/office/spreadsheetml/2009/9/main" uri="{CCE6A557-97BC-4b89-ADB6-D9C93CAAB3DF}">
      <x14:dataValidations xmlns:xm="http://schemas.microsoft.com/office/excel/2006/main" count="10">
        <x14:dataValidation type="list" allowBlank="1" showInputMessage="1" showErrorMessage="1" xr:uid="{1B084E87-DC2C-451C-A9F4-04A12C7AC3CB}">
          <x14:formula1>
            <xm:f>'NOP Tool lookups'!$M$4:$M$11</xm:f>
          </x14:formula1>
          <xm:sqref>C16:D16</xm:sqref>
        </x14:dataValidation>
        <x14:dataValidation type="list" allowBlank="1" showInputMessage="1" showErrorMessage="1" xr:uid="{3E1DB1CC-AB67-481D-A9D6-6B36EA654AF5}">
          <x14:formula1>
            <xm:f>'NOP Tool lookups'!$A$29:$A$34</xm:f>
          </x14:formula1>
          <xm:sqref>C23:C29</xm:sqref>
        </x14:dataValidation>
        <x14:dataValidation type="list" allowBlank="1" showInputMessage="1" showErrorMessage="1" xr:uid="{32B04ACB-EF75-4DE6-9FB1-17C8DF34434D}">
          <x14:formula1>
            <xm:f>'NOP Tool lookups'!$A$23:$A$34</xm:f>
          </x14:formula1>
          <xm:sqref>D23:D29</xm:sqref>
        </x14:dataValidation>
        <x14:dataValidation type="list" allowBlank="1" showInputMessage="1" showErrorMessage="1" xr:uid="{34A9443E-5ADA-449D-B721-2BB0A0BB1C60}">
          <x14:formula1>
            <xm:f>'NOP Tool lookups'!$K$23:$K$28</xm:f>
          </x14:formula1>
          <xm:sqref>F13:F17</xm:sqref>
        </x14:dataValidation>
        <x14:dataValidation type="list" allowBlank="1" showInputMessage="1" showErrorMessage="1" xr:uid="{CD85F931-017F-4125-9C4F-0B163F099711}">
          <x14:formula1>
            <xm:f>'NOP Tool lookups'!$P$23:$P$24</xm:f>
          </x14:formula1>
          <xm:sqref>D50</xm:sqref>
        </x14:dataValidation>
        <x14:dataValidation type="list" allowBlank="1" showInputMessage="1" showErrorMessage="1" xr:uid="{DA5B7742-D51E-47B5-8875-D3D9694BF486}">
          <x14:formula1>
            <xm:f>'NOP Tool lookups'!$AD$4:$AD$15</xm:f>
          </x14:formula1>
          <xm:sqref>C18:D18</xm:sqref>
        </x14:dataValidation>
        <x14:dataValidation type="list" allowBlank="1" showInputMessage="1" showErrorMessage="1" xr:uid="{317C0343-043F-4DB3-8FD6-4348CE0E05A2}">
          <x14:formula1>
            <xm:f>'NOP Tool lookups'!$G$4:$G$11</xm:f>
          </x14:formula1>
          <xm:sqref>C15</xm:sqref>
        </x14:dataValidation>
        <x14:dataValidation type="list" allowBlank="1" showInputMessage="1" showErrorMessage="1" xr:uid="{47479795-E89C-49C8-9F91-D5C3FEDCDEB3}">
          <x14:formula1>
            <xm:f>'NOP Tool lookups'!$S$4:$S$9</xm:f>
          </x14:formula1>
          <xm:sqref>C17</xm:sqref>
        </x14:dataValidation>
        <x14:dataValidation type="list" allowBlank="1" showInputMessage="1" showErrorMessage="1" xr:uid="{FEB5BC31-FB61-43CE-BADD-8B5E469C7091}">
          <x14:formula1>
            <xm:f>'NOP Tool lookups'!$Y$4:$Y$7</xm:f>
          </x14:formula1>
          <xm:sqref>C13</xm:sqref>
        </x14:dataValidation>
        <x14:dataValidation type="list" allowBlank="1" showInputMessage="1" showErrorMessage="1" xr:uid="{080EF182-66BF-471F-9746-7AFA5EE3A3BA}">
          <x14:formula1>
            <xm:f>'NOP Tool lookups'!$A$4:$A$10</xm:f>
          </x14:formula1>
          <xm:sqref>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53105-8506-4FB1-BF7B-132360E0C80A}">
  <sheetPr codeName="Sheet6"/>
  <dimension ref="A1:H17"/>
  <sheetViews>
    <sheetView zoomScale="130" zoomScaleNormal="130" workbookViewId="0">
      <selection activeCell="G15" sqref="G15"/>
    </sheetView>
  </sheetViews>
  <sheetFormatPr baseColWidth="10" defaultColWidth="8.83203125" defaultRowHeight="15" x14ac:dyDescent="0.2"/>
  <cols>
    <col min="1" max="2" width="34" customWidth="1"/>
    <col min="3" max="3" width="53.33203125" customWidth="1"/>
    <col min="4" max="4" width="34.1640625" customWidth="1"/>
    <col min="5" max="5" width="35.5" customWidth="1"/>
    <col min="6" max="6" width="23.33203125" customWidth="1"/>
    <col min="8" max="8" width="19.5" customWidth="1"/>
  </cols>
  <sheetData>
    <row r="1" spans="1:8" s="137" customFormat="1" ht="19" x14ac:dyDescent="0.25">
      <c r="A1" s="137" t="s">
        <v>261</v>
      </c>
      <c r="C1" s="137" t="s">
        <v>284</v>
      </c>
      <c r="D1" s="137" t="s">
        <v>285</v>
      </c>
      <c r="E1" s="137" t="s">
        <v>286</v>
      </c>
      <c r="F1" s="137" t="s">
        <v>287</v>
      </c>
      <c r="H1" s="137" t="s">
        <v>315</v>
      </c>
    </row>
    <row r="2" spans="1:8" x14ac:dyDescent="0.2">
      <c r="A2" t="s">
        <v>64</v>
      </c>
      <c r="B2" t="s">
        <v>274</v>
      </c>
      <c r="C2" t="s">
        <v>278</v>
      </c>
      <c r="D2" t="s">
        <v>263</v>
      </c>
      <c r="E2" t="s">
        <v>264</v>
      </c>
      <c r="F2" t="s">
        <v>238</v>
      </c>
      <c r="H2" t="s">
        <v>314</v>
      </c>
    </row>
    <row r="3" spans="1:8" x14ac:dyDescent="0.2">
      <c r="A3" t="s">
        <v>160</v>
      </c>
      <c r="B3" t="s">
        <v>275</v>
      </c>
      <c r="C3" t="s">
        <v>277</v>
      </c>
      <c r="D3" t="s">
        <v>265</v>
      </c>
      <c r="E3" t="s">
        <v>239</v>
      </c>
      <c r="F3" t="s">
        <v>53</v>
      </c>
      <c r="H3" t="s">
        <v>238</v>
      </c>
    </row>
    <row r="4" spans="1:8" x14ac:dyDescent="0.2">
      <c r="A4" t="s">
        <v>84</v>
      </c>
      <c r="B4" t="s">
        <v>276</v>
      </c>
      <c r="C4" t="s">
        <v>262</v>
      </c>
      <c r="D4" t="s">
        <v>53</v>
      </c>
      <c r="E4" t="s">
        <v>53</v>
      </c>
      <c r="F4" t="s">
        <v>53</v>
      </c>
      <c r="H4" t="s">
        <v>239</v>
      </c>
    </row>
    <row r="5" spans="1:8" x14ac:dyDescent="0.2">
      <c r="B5" t="s">
        <v>279</v>
      </c>
      <c r="C5" t="s">
        <v>280</v>
      </c>
      <c r="D5" t="s">
        <v>238</v>
      </c>
      <c r="E5" t="s">
        <v>238</v>
      </c>
      <c r="F5" t="s">
        <v>238</v>
      </c>
      <c r="H5" t="s">
        <v>240</v>
      </c>
    </row>
    <row r="6" spans="1:8" x14ac:dyDescent="0.2">
      <c r="B6" t="s">
        <v>281</v>
      </c>
      <c r="C6" t="s">
        <v>263</v>
      </c>
      <c r="D6" t="s">
        <v>263</v>
      </c>
      <c r="E6" t="s">
        <v>264</v>
      </c>
      <c r="F6" t="s">
        <v>238</v>
      </c>
      <c r="H6" t="s">
        <v>236</v>
      </c>
    </row>
    <row r="7" spans="1:8" x14ac:dyDescent="0.2">
      <c r="B7" t="s">
        <v>282</v>
      </c>
      <c r="C7" t="s">
        <v>238</v>
      </c>
      <c r="D7" t="s">
        <v>238</v>
      </c>
      <c r="E7" t="s">
        <v>238</v>
      </c>
      <c r="F7" t="s">
        <v>238</v>
      </c>
      <c r="H7" t="s">
        <v>237</v>
      </c>
    </row>
    <row r="8" spans="1:8" x14ac:dyDescent="0.2">
      <c r="B8" t="s">
        <v>283</v>
      </c>
      <c r="C8" t="s">
        <v>265</v>
      </c>
      <c r="D8" t="s">
        <v>265</v>
      </c>
      <c r="E8" t="s">
        <v>239</v>
      </c>
      <c r="F8" t="s">
        <v>53</v>
      </c>
      <c r="H8" t="s">
        <v>226</v>
      </c>
    </row>
    <row r="9" spans="1:8" x14ac:dyDescent="0.2">
      <c r="C9" t="s">
        <v>264</v>
      </c>
      <c r="F9" t="s">
        <v>238</v>
      </c>
      <c r="H9" t="s">
        <v>262</v>
      </c>
    </row>
    <row r="10" spans="1:8" x14ac:dyDescent="0.2">
      <c r="C10" t="s">
        <v>239</v>
      </c>
      <c r="F10" t="s">
        <v>53</v>
      </c>
      <c r="H10" t="s">
        <v>84</v>
      </c>
    </row>
    <row r="11" spans="1:8" x14ac:dyDescent="0.2">
      <c r="C11" t="s">
        <v>53</v>
      </c>
    </row>
    <row r="12" spans="1:8" x14ac:dyDescent="0.2">
      <c r="C12" t="s">
        <v>368</v>
      </c>
      <c r="E12" t="s">
        <v>372</v>
      </c>
      <c r="F12" t="s">
        <v>371</v>
      </c>
    </row>
    <row r="13" spans="1:8" x14ac:dyDescent="0.2">
      <c r="C13" t="s">
        <v>369</v>
      </c>
      <c r="E13" t="s">
        <v>373</v>
      </c>
      <c r="F13" t="s">
        <v>370</v>
      </c>
    </row>
    <row r="14" spans="1:8" x14ac:dyDescent="0.2">
      <c r="C14" t="s">
        <v>370</v>
      </c>
      <c r="E14" t="s">
        <v>370</v>
      </c>
      <c r="F14" t="s">
        <v>370</v>
      </c>
    </row>
    <row r="15" spans="1:8" x14ac:dyDescent="0.2">
      <c r="C15" t="s">
        <v>371</v>
      </c>
      <c r="E15" t="s">
        <v>371</v>
      </c>
      <c r="F15" t="s">
        <v>371</v>
      </c>
    </row>
    <row r="16" spans="1:8" x14ac:dyDescent="0.2">
      <c r="C16" t="s">
        <v>372</v>
      </c>
      <c r="E16" t="s">
        <v>372</v>
      </c>
      <c r="F16" t="s">
        <v>371</v>
      </c>
    </row>
    <row r="17" spans="3:6" x14ac:dyDescent="0.2">
      <c r="C17" t="s">
        <v>373</v>
      </c>
      <c r="E17" t="s">
        <v>373</v>
      </c>
      <c r="F17" t="s">
        <v>370</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18AF7-9CC1-46B8-B5E7-399C9F6914C4}">
  <sheetPr codeName="Sheet4"/>
  <dimension ref="A1:AH37"/>
  <sheetViews>
    <sheetView workbookViewId="0">
      <selection sqref="A1:K1"/>
    </sheetView>
  </sheetViews>
  <sheetFormatPr baseColWidth="10" defaultColWidth="9.1640625" defaultRowHeight="15" x14ac:dyDescent="0.2"/>
  <cols>
    <col min="1" max="1" width="27.1640625" style="5" customWidth="1"/>
    <col min="2" max="2" width="18.83203125" style="5" customWidth="1"/>
    <col min="3" max="3" width="19" style="5" customWidth="1"/>
    <col min="4" max="4" width="7.1640625" style="12" customWidth="1"/>
    <col min="5" max="5" width="14.5" style="12" customWidth="1"/>
    <col min="6" max="6" width="15.33203125" style="12" customWidth="1"/>
    <col min="7" max="7" width="27.1640625" style="5" customWidth="1"/>
    <col min="8" max="8" width="22.33203125" style="5" customWidth="1"/>
    <col min="9" max="9" width="14.6640625" style="5" customWidth="1"/>
    <col min="10" max="10" width="4" style="12" bestFit="1" customWidth="1"/>
    <col min="11" max="11" width="8" style="12" customWidth="1"/>
    <col min="12" max="12" width="4.6640625" style="12" customWidth="1"/>
    <col min="13" max="13" width="27.1640625" style="5" customWidth="1"/>
    <col min="14" max="14" width="20" style="5" customWidth="1"/>
    <col min="15" max="15" width="11.5" style="5" customWidth="1"/>
    <col min="16" max="16" width="11.1640625" style="12" customWidth="1"/>
    <col min="17" max="17" width="9.5" style="12" customWidth="1"/>
    <col min="18" max="18" width="6.1640625" style="12" customWidth="1"/>
    <col min="19" max="19" width="27.1640625" style="5" customWidth="1"/>
    <col min="20" max="20" width="17.6640625" style="5" customWidth="1"/>
    <col min="21" max="21" width="10" style="5" customWidth="1"/>
    <col min="22" max="22" width="4" style="12" bestFit="1" customWidth="1"/>
    <col min="23" max="23" width="7.5" style="12" customWidth="1"/>
    <col min="24" max="24" width="5.33203125" style="12" customWidth="1"/>
    <col min="25" max="25" width="27.1640625" style="5" customWidth="1"/>
    <col min="26" max="26" width="16.1640625" style="5" customWidth="1"/>
    <col min="27" max="28" width="9.5" style="5" customWidth="1"/>
    <col min="29" max="29" width="4" style="5" bestFit="1" customWidth="1"/>
    <col min="30" max="30" width="27.1640625" style="5" customWidth="1"/>
    <col min="31" max="32" width="10" style="5" customWidth="1"/>
    <col min="33" max="33" width="4" style="12" bestFit="1" customWidth="1"/>
    <col min="34" max="34" width="5.6640625" style="12" customWidth="1"/>
    <col min="35" max="35" width="22.5" style="5" customWidth="1"/>
    <col min="36" max="36" width="4.6640625" style="5" customWidth="1"/>
    <col min="37" max="37" width="22.5" style="5" customWidth="1"/>
    <col min="38" max="38" width="3.5" style="5" customWidth="1"/>
    <col min="39" max="39" width="24.33203125" style="5" customWidth="1"/>
    <col min="40" max="40" width="16.33203125" style="5" customWidth="1"/>
    <col min="41" max="41" width="22.33203125" style="5" customWidth="1"/>
    <col min="42" max="42" width="5" style="5" customWidth="1"/>
    <col min="43" max="16384" width="9.1640625" style="5"/>
  </cols>
  <sheetData>
    <row r="1" spans="1:34" ht="22" x14ac:dyDescent="0.2">
      <c r="A1" s="2" t="s">
        <v>101</v>
      </c>
      <c r="B1" s="3"/>
      <c r="C1" s="3"/>
      <c r="D1" s="4"/>
      <c r="E1" s="4"/>
      <c r="F1" s="4"/>
      <c r="G1" s="3"/>
      <c r="H1" s="3"/>
      <c r="I1" s="3"/>
      <c r="J1" s="4"/>
      <c r="K1" s="4"/>
      <c r="L1" s="4"/>
      <c r="M1" s="3"/>
      <c r="N1" s="3"/>
      <c r="O1" s="3"/>
      <c r="P1" s="4"/>
      <c r="Q1" s="4"/>
      <c r="R1" s="4"/>
      <c r="S1" s="3"/>
      <c r="T1" s="3"/>
      <c r="U1" s="3"/>
      <c r="V1" s="4"/>
      <c r="W1" s="4"/>
      <c r="X1" s="4"/>
    </row>
    <row r="2" spans="1:34" x14ac:dyDescent="0.2">
      <c r="A2" s="312" t="s">
        <v>34</v>
      </c>
      <c r="B2" s="313"/>
      <c r="C2" s="313"/>
      <c r="D2" s="313"/>
      <c r="E2" s="313"/>
      <c r="F2" s="313"/>
      <c r="G2" s="312" t="s">
        <v>4</v>
      </c>
      <c r="H2" s="313"/>
      <c r="I2" s="313"/>
      <c r="J2" s="313"/>
      <c r="K2" s="313"/>
      <c r="L2" s="314"/>
      <c r="M2" s="315" t="s">
        <v>5</v>
      </c>
      <c r="N2" s="316"/>
      <c r="O2" s="316"/>
      <c r="P2" s="316"/>
      <c r="Q2" s="316"/>
      <c r="R2" s="317"/>
      <c r="S2" s="316" t="s">
        <v>0</v>
      </c>
      <c r="T2" s="316"/>
      <c r="U2" s="316"/>
      <c r="V2" s="316"/>
      <c r="W2" s="316"/>
      <c r="X2" s="317"/>
      <c r="Y2" s="321" t="s">
        <v>6</v>
      </c>
      <c r="Z2" s="322"/>
      <c r="AA2" s="322"/>
      <c r="AB2" s="322"/>
      <c r="AC2" s="323"/>
      <c r="AD2" s="321" t="s">
        <v>36</v>
      </c>
      <c r="AE2" s="322"/>
      <c r="AF2" s="322"/>
      <c r="AG2" s="322"/>
      <c r="AH2" s="323"/>
    </row>
    <row r="3" spans="1:34" s="9" customFormat="1" ht="64" x14ac:dyDescent="0.2">
      <c r="A3" s="6" t="s">
        <v>67</v>
      </c>
      <c r="B3" s="318" t="s">
        <v>94</v>
      </c>
      <c r="C3" s="318"/>
      <c r="D3" s="7" t="s">
        <v>68</v>
      </c>
      <c r="E3" s="7" t="s">
        <v>123</v>
      </c>
      <c r="F3" s="7" t="s">
        <v>69</v>
      </c>
      <c r="G3" s="6" t="s">
        <v>67</v>
      </c>
      <c r="H3" s="318" t="s">
        <v>94</v>
      </c>
      <c r="I3" s="318"/>
      <c r="J3" s="7" t="s">
        <v>68</v>
      </c>
      <c r="K3" s="7" t="s">
        <v>123</v>
      </c>
      <c r="L3" s="8" t="s">
        <v>69</v>
      </c>
      <c r="M3" s="6" t="s">
        <v>67</v>
      </c>
      <c r="N3" s="318" t="s">
        <v>94</v>
      </c>
      <c r="O3" s="318"/>
      <c r="P3" s="7" t="s">
        <v>68</v>
      </c>
      <c r="Q3" s="7" t="s">
        <v>123</v>
      </c>
      <c r="R3" s="8" t="s">
        <v>69</v>
      </c>
      <c r="S3" s="7" t="s">
        <v>67</v>
      </c>
      <c r="T3" s="318" t="s">
        <v>94</v>
      </c>
      <c r="U3" s="318"/>
      <c r="V3" s="7" t="s">
        <v>68</v>
      </c>
      <c r="W3" s="7" t="s">
        <v>123</v>
      </c>
      <c r="X3" s="8" t="s">
        <v>69</v>
      </c>
      <c r="Y3" s="6" t="s">
        <v>67</v>
      </c>
      <c r="Z3" s="318" t="s">
        <v>94</v>
      </c>
      <c r="AA3" s="318"/>
      <c r="AB3" s="7" t="s">
        <v>123</v>
      </c>
      <c r="AC3" s="8" t="s">
        <v>68</v>
      </c>
      <c r="AD3" s="6" t="s">
        <v>67</v>
      </c>
      <c r="AE3" s="7" t="s">
        <v>117</v>
      </c>
      <c r="AF3" s="7" t="s">
        <v>158</v>
      </c>
      <c r="AG3" s="7" t="s">
        <v>68</v>
      </c>
      <c r="AH3" s="8" t="s">
        <v>69</v>
      </c>
    </row>
    <row r="4" spans="1:34" x14ac:dyDescent="0.2">
      <c r="A4" s="10" t="s">
        <v>20</v>
      </c>
      <c r="B4" s="11" t="s">
        <v>95</v>
      </c>
      <c r="C4" s="11">
        <v>350</v>
      </c>
      <c r="D4" s="12">
        <v>2</v>
      </c>
      <c r="E4" s="12" t="str">
        <f>'LoS Targets'!C8</f>
        <v>B</v>
      </c>
      <c r="F4" s="12">
        <v>1</v>
      </c>
      <c r="G4" s="10" t="s">
        <v>37</v>
      </c>
      <c r="H4" s="11" t="s">
        <v>103</v>
      </c>
      <c r="I4" s="11">
        <v>100</v>
      </c>
      <c r="J4" s="13">
        <v>2</v>
      </c>
      <c r="K4" s="12" t="str">
        <f>'LoS Targets'!C15</f>
        <v>B</v>
      </c>
      <c r="L4" s="14">
        <v>1</v>
      </c>
      <c r="M4" s="10" t="s">
        <v>18</v>
      </c>
      <c r="N4" s="11" t="s">
        <v>107</v>
      </c>
      <c r="O4" s="11">
        <v>150</v>
      </c>
      <c r="P4" s="12">
        <v>2</v>
      </c>
      <c r="Q4" s="12" t="str">
        <f>'LoS Targets'!C22</f>
        <v>C</v>
      </c>
      <c r="R4" s="14">
        <v>1</v>
      </c>
      <c r="S4" s="5" t="s">
        <v>17</v>
      </c>
      <c r="T4" s="11" t="s">
        <v>111</v>
      </c>
      <c r="U4" s="11">
        <f>3*2000</f>
        <v>6000</v>
      </c>
      <c r="V4" s="13">
        <v>2</v>
      </c>
      <c r="W4" s="12" t="str">
        <f>'LoS Targets'!C30</f>
        <v>C</v>
      </c>
      <c r="X4" s="14">
        <v>1</v>
      </c>
      <c r="Y4" s="10" t="s">
        <v>16</v>
      </c>
      <c r="Z4" s="11" t="s">
        <v>118</v>
      </c>
      <c r="AA4" s="11">
        <v>300</v>
      </c>
      <c r="AB4" s="12" t="str">
        <f>'LoS Targets'!C4</f>
        <v>B</v>
      </c>
      <c r="AC4" s="14">
        <v>2</v>
      </c>
      <c r="AD4" s="96" t="s">
        <v>151</v>
      </c>
      <c r="AE4" s="12"/>
      <c r="AF4" s="11">
        <v>-2</v>
      </c>
      <c r="AG4" s="12">
        <v>1.5</v>
      </c>
      <c r="AH4" s="14">
        <v>1</v>
      </c>
    </row>
    <row r="5" spans="1:34" x14ac:dyDescent="0.2">
      <c r="A5" s="10" t="s">
        <v>9</v>
      </c>
      <c r="B5" s="11" t="s">
        <v>96</v>
      </c>
      <c r="C5" s="11">
        <v>200</v>
      </c>
      <c r="D5" s="12">
        <v>2</v>
      </c>
      <c r="E5" s="12" t="str">
        <f>'LoS Targets'!C9</f>
        <v>B</v>
      </c>
      <c r="F5" s="12">
        <v>1</v>
      </c>
      <c r="G5" s="10" t="s">
        <v>366</v>
      </c>
      <c r="H5" s="11" t="s">
        <v>98</v>
      </c>
      <c r="I5" s="11">
        <v>30</v>
      </c>
      <c r="J5" s="13">
        <v>2</v>
      </c>
      <c r="K5" s="12" t="str">
        <f>'LoS Targets'!C16</f>
        <v>C</v>
      </c>
      <c r="L5" s="14">
        <v>1</v>
      </c>
      <c r="M5" s="10" t="s">
        <v>19</v>
      </c>
      <c r="N5" s="11" t="s">
        <v>100</v>
      </c>
      <c r="O5" s="11">
        <v>75</v>
      </c>
      <c r="P5" s="12">
        <v>2</v>
      </c>
      <c r="Q5" s="12" t="str">
        <f>'LoS Targets'!C23</f>
        <v>C</v>
      </c>
      <c r="R5" s="14">
        <v>1</v>
      </c>
      <c r="S5" s="5" t="s">
        <v>44</v>
      </c>
      <c r="T5" s="11" t="s">
        <v>112</v>
      </c>
      <c r="U5" s="11">
        <v>3000</v>
      </c>
      <c r="V5" s="13">
        <v>2</v>
      </c>
      <c r="W5" s="12" t="str">
        <f>'LoS Targets'!C31</f>
        <v>C</v>
      </c>
      <c r="X5" s="14">
        <v>1</v>
      </c>
      <c r="Y5" s="10" t="s">
        <v>8</v>
      </c>
      <c r="Z5" s="11" t="s">
        <v>107</v>
      </c>
      <c r="AA5" s="11">
        <v>150</v>
      </c>
      <c r="AB5" s="12" t="str">
        <f>'LoS Targets'!C5</f>
        <v>C</v>
      </c>
      <c r="AC5" s="14">
        <v>1</v>
      </c>
      <c r="AD5" s="96" t="s">
        <v>152</v>
      </c>
      <c r="AE5" s="12"/>
      <c r="AF5" s="11">
        <v>-1</v>
      </c>
      <c r="AG5" s="12">
        <v>1</v>
      </c>
      <c r="AH5" s="14">
        <v>0</v>
      </c>
    </row>
    <row r="6" spans="1:34" x14ac:dyDescent="0.2">
      <c r="A6" s="10" t="s">
        <v>35</v>
      </c>
      <c r="B6" s="11" t="s">
        <v>100</v>
      </c>
      <c r="C6" s="11">
        <v>75</v>
      </c>
      <c r="D6" s="12">
        <v>1</v>
      </c>
      <c r="E6" s="12" t="str">
        <f>'LoS Targets'!C10</f>
        <v>C</v>
      </c>
      <c r="F6" s="12">
        <v>0</v>
      </c>
      <c r="G6" s="10" t="s">
        <v>366</v>
      </c>
      <c r="H6" s="15" t="s">
        <v>104</v>
      </c>
      <c r="I6" s="11">
        <v>15</v>
      </c>
      <c r="J6" s="13">
        <v>2</v>
      </c>
      <c r="K6" s="12" t="str">
        <f>'LoS Targets'!C17</f>
        <v>D</v>
      </c>
      <c r="L6" s="14">
        <v>1</v>
      </c>
      <c r="M6" s="10" t="s">
        <v>42</v>
      </c>
      <c r="N6" s="11" t="s">
        <v>108</v>
      </c>
      <c r="O6" s="11">
        <v>40</v>
      </c>
      <c r="P6" s="12">
        <v>1</v>
      </c>
      <c r="Q6" s="12" t="str">
        <f>'LoS Targets'!C24</f>
        <v>D</v>
      </c>
      <c r="R6" s="14">
        <v>1</v>
      </c>
      <c r="S6" s="5" t="s">
        <v>45</v>
      </c>
      <c r="T6" s="11" t="s">
        <v>113</v>
      </c>
      <c r="U6" s="11">
        <v>1500</v>
      </c>
      <c r="V6" s="13">
        <v>1.5</v>
      </c>
      <c r="W6" s="12" t="str">
        <f>'LoS Targets'!C31</f>
        <v>C</v>
      </c>
      <c r="X6" s="14">
        <v>1</v>
      </c>
      <c r="Y6" s="10" t="s">
        <v>48</v>
      </c>
      <c r="Z6" s="11" t="s">
        <v>100</v>
      </c>
      <c r="AA6" s="11">
        <v>75</v>
      </c>
      <c r="AB6" s="12" t="str">
        <f>'LoS Targets'!C6</f>
        <v>D</v>
      </c>
      <c r="AC6" s="14">
        <v>1</v>
      </c>
      <c r="AD6" s="96" t="s">
        <v>153</v>
      </c>
      <c r="AE6" s="12"/>
      <c r="AF6" s="11">
        <v>0</v>
      </c>
      <c r="AG6" s="12">
        <v>1</v>
      </c>
      <c r="AH6" s="14">
        <v>0</v>
      </c>
    </row>
    <row r="7" spans="1:34" x14ac:dyDescent="0.2">
      <c r="A7" s="5" t="s">
        <v>77</v>
      </c>
      <c r="B7" s="11" t="s">
        <v>99</v>
      </c>
      <c r="C7" s="11">
        <v>35</v>
      </c>
      <c r="D7" s="12">
        <v>0.5</v>
      </c>
      <c r="E7" s="12" t="str">
        <f>'LoS Targets'!C11</f>
        <v>D</v>
      </c>
      <c r="F7" s="12">
        <v>0</v>
      </c>
      <c r="G7" s="10" t="s">
        <v>38</v>
      </c>
      <c r="H7" s="15" t="s">
        <v>104</v>
      </c>
      <c r="I7" s="11">
        <v>15</v>
      </c>
      <c r="J7" s="13">
        <v>2</v>
      </c>
      <c r="K7" s="12" t="str">
        <f>'LoS Targets'!C18</f>
        <v>D</v>
      </c>
      <c r="L7" s="14">
        <v>1</v>
      </c>
      <c r="M7" s="10" t="s">
        <v>43</v>
      </c>
      <c r="N7" s="11" t="s">
        <v>109</v>
      </c>
      <c r="O7" s="11">
        <v>25</v>
      </c>
      <c r="P7" s="12">
        <v>1</v>
      </c>
      <c r="Q7" s="12" t="str">
        <f>'LoS Targets'!C25</f>
        <v>D</v>
      </c>
      <c r="R7" s="14">
        <v>0</v>
      </c>
      <c r="S7" s="5" t="s">
        <v>7</v>
      </c>
      <c r="T7" s="11" t="s">
        <v>114</v>
      </c>
      <c r="U7" s="11">
        <v>750</v>
      </c>
      <c r="V7" s="13">
        <v>1</v>
      </c>
      <c r="W7" s="12" t="str">
        <f>'LoS Targets'!C32</f>
        <v>C</v>
      </c>
      <c r="X7" s="14">
        <v>1</v>
      </c>
      <c r="Y7" s="23" t="s">
        <v>49</v>
      </c>
      <c r="Z7" s="18" t="s">
        <v>119</v>
      </c>
      <c r="AA7" s="18">
        <v>25</v>
      </c>
      <c r="AB7" s="24" t="str">
        <f>'LoS Targets'!C7</f>
        <v>D</v>
      </c>
      <c r="AC7" s="20">
        <v>0.5</v>
      </c>
      <c r="AD7" s="96" t="s">
        <v>146</v>
      </c>
      <c r="AE7" s="12"/>
      <c r="AF7" s="11">
        <v>-1</v>
      </c>
      <c r="AG7" s="12">
        <v>1.5</v>
      </c>
      <c r="AH7" s="14">
        <v>1</v>
      </c>
    </row>
    <row r="8" spans="1:34" x14ac:dyDescent="0.2">
      <c r="A8" s="5" t="s">
        <v>78</v>
      </c>
      <c r="B8" s="11" t="s">
        <v>99</v>
      </c>
      <c r="C8" s="11">
        <v>35</v>
      </c>
      <c r="D8" s="12">
        <v>0.5</v>
      </c>
      <c r="E8" s="12" t="str">
        <f>'LoS Targets'!C12</f>
        <v>D</v>
      </c>
      <c r="F8" s="12">
        <v>0</v>
      </c>
      <c r="G8" s="10" t="s">
        <v>39</v>
      </c>
      <c r="H8" s="15" t="s">
        <v>105</v>
      </c>
      <c r="I8" s="11">
        <v>6</v>
      </c>
      <c r="J8" s="13">
        <v>1</v>
      </c>
      <c r="K8" s="12" t="str">
        <f>'LoS Targets'!C19</f>
        <v>D</v>
      </c>
      <c r="L8" s="14">
        <v>0</v>
      </c>
      <c r="M8" s="10" t="s">
        <v>80</v>
      </c>
      <c r="N8" s="15" t="s">
        <v>104</v>
      </c>
      <c r="O8" s="11">
        <v>15</v>
      </c>
      <c r="P8" s="12">
        <v>0.5</v>
      </c>
      <c r="Q8" s="12" t="str">
        <f>'LoS Targets'!C26</f>
        <v>D</v>
      </c>
      <c r="R8" s="14">
        <v>0</v>
      </c>
      <c r="S8" s="5" t="s">
        <v>46</v>
      </c>
      <c r="T8" s="11" t="s">
        <v>115</v>
      </c>
      <c r="U8" s="11">
        <v>375</v>
      </c>
      <c r="V8" s="13">
        <v>0.5</v>
      </c>
      <c r="W8" s="12" t="str">
        <f>'LoS Targets'!C33</f>
        <v>D</v>
      </c>
      <c r="X8" s="14">
        <v>0</v>
      </c>
      <c r="AD8" s="96" t="s">
        <v>149</v>
      </c>
      <c r="AE8" s="12"/>
      <c r="AF8" s="11">
        <v>-1</v>
      </c>
      <c r="AG8" s="12">
        <v>1.5</v>
      </c>
      <c r="AH8" s="14">
        <v>1</v>
      </c>
    </row>
    <row r="9" spans="1:34" x14ac:dyDescent="0.2">
      <c r="A9" s="5" t="s">
        <v>79</v>
      </c>
      <c r="B9" s="11" t="s">
        <v>99</v>
      </c>
      <c r="C9" s="11">
        <v>35</v>
      </c>
      <c r="D9" s="12">
        <v>0.5</v>
      </c>
      <c r="E9" s="12" t="str">
        <f>'LoS Targets'!C13</f>
        <v>D</v>
      </c>
      <c r="F9" s="12">
        <v>0</v>
      </c>
      <c r="G9" s="10" t="s">
        <v>40</v>
      </c>
      <c r="H9" s="15" t="s">
        <v>106</v>
      </c>
      <c r="I9" s="11">
        <v>4</v>
      </c>
      <c r="J9" s="13">
        <v>0.5</v>
      </c>
      <c r="K9" s="12" t="str">
        <f>'LoS Targets'!C20</f>
        <v>E</v>
      </c>
      <c r="L9" s="14">
        <v>0</v>
      </c>
      <c r="M9" s="10" t="s">
        <v>81</v>
      </c>
      <c r="N9" s="15" t="s">
        <v>104</v>
      </c>
      <c r="O9" s="11">
        <v>15</v>
      </c>
      <c r="P9" s="12">
        <v>0.5</v>
      </c>
      <c r="Q9" s="12" t="str">
        <f>'LoS Targets'!C27</f>
        <v>D</v>
      </c>
      <c r="R9" s="14">
        <v>0</v>
      </c>
      <c r="S9" s="17" t="s">
        <v>47</v>
      </c>
      <c r="T9" s="18" t="s">
        <v>116</v>
      </c>
      <c r="U9" s="18">
        <v>125</v>
      </c>
      <c r="V9" s="19">
        <v>0.5</v>
      </c>
      <c r="W9" s="12" t="str">
        <f>'LoS Targets'!C34</f>
        <v>E</v>
      </c>
      <c r="X9" s="20">
        <v>0</v>
      </c>
      <c r="AD9" s="96" t="s">
        <v>150</v>
      </c>
      <c r="AE9" s="22"/>
      <c r="AF9" s="21">
        <v>-1</v>
      </c>
      <c r="AG9" s="12">
        <v>1.5</v>
      </c>
      <c r="AH9" s="14">
        <v>1</v>
      </c>
    </row>
    <row r="10" spans="1:34" x14ac:dyDescent="0.2">
      <c r="A10" s="23" t="s">
        <v>53</v>
      </c>
      <c r="B10" s="18" t="s">
        <v>97</v>
      </c>
      <c r="C10" s="18">
        <v>10</v>
      </c>
      <c r="D10" s="24">
        <v>0.5</v>
      </c>
      <c r="E10" s="24" t="s">
        <v>10</v>
      </c>
      <c r="F10" s="24">
        <v>0</v>
      </c>
      <c r="G10" s="10" t="s">
        <v>41</v>
      </c>
      <c r="H10" s="15" t="s">
        <v>106</v>
      </c>
      <c r="I10" s="11">
        <v>4</v>
      </c>
      <c r="J10" s="13">
        <v>0.5</v>
      </c>
      <c r="K10" s="12" t="str">
        <f>'LoS Targets'!C21</f>
        <v>D</v>
      </c>
      <c r="L10" s="14">
        <v>0</v>
      </c>
      <c r="M10" s="10" t="s">
        <v>82</v>
      </c>
      <c r="N10" s="15" t="s">
        <v>104</v>
      </c>
      <c r="O10" s="11">
        <v>15</v>
      </c>
      <c r="P10" s="12">
        <v>0.5</v>
      </c>
      <c r="Q10" s="12" t="str">
        <f>'LoS Targets'!C28</f>
        <v>D</v>
      </c>
      <c r="R10" s="14">
        <v>0</v>
      </c>
      <c r="AD10" s="96" t="s">
        <v>156</v>
      </c>
      <c r="AE10" s="22"/>
      <c r="AF10" s="21">
        <v>-1</v>
      </c>
      <c r="AG10" s="12">
        <v>1.5</v>
      </c>
      <c r="AH10" s="14">
        <v>1</v>
      </c>
    </row>
    <row r="11" spans="1:34" x14ac:dyDescent="0.2">
      <c r="A11" s="55"/>
      <c r="G11" s="23" t="s">
        <v>53</v>
      </c>
      <c r="H11" s="18">
        <v>0</v>
      </c>
      <c r="I11" s="18">
        <v>0</v>
      </c>
      <c r="J11" s="19">
        <v>0.5</v>
      </c>
      <c r="K11" s="24" t="s">
        <v>62</v>
      </c>
      <c r="L11" s="20">
        <v>0</v>
      </c>
      <c r="M11" s="23" t="s">
        <v>53</v>
      </c>
      <c r="N11" s="18" t="s">
        <v>110</v>
      </c>
      <c r="O11" s="18">
        <v>5</v>
      </c>
      <c r="P11" s="24">
        <v>0.5</v>
      </c>
      <c r="Q11" s="12" t="str">
        <f>'LoS Targets'!C29</f>
        <v>E</v>
      </c>
      <c r="R11" s="20">
        <v>0</v>
      </c>
      <c r="AD11" s="96" t="s">
        <v>154</v>
      </c>
      <c r="AE11" s="22"/>
      <c r="AF11" s="21">
        <v>-1</v>
      </c>
      <c r="AG11" s="22">
        <v>1</v>
      </c>
      <c r="AH11" s="14">
        <v>0</v>
      </c>
    </row>
    <row r="12" spans="1:34" x14ac:dyDescent="0.2">
      <c r="A12" s="97" t="s">
        <v>159</v>
      </c>
      <c r="B12" s="97"/>
      <c r="AD12" s="96" t="s">
        <v>147</v>
      </c>
      <c r="AF12" s="11">
        <v>0</v>
      </c>
      <c r="AG12" s="12">
        <v>1</v>
      </c>
      <c r="AH12" s="14">
        <v>0</v>
      </c>
    </row>
    <row r="13" spans="1:34" x14ac:dyDescent="0.2">
      <c r="L13" s="5"/>
      <c r="O13" s="12"/>
      <c r="R13" s="5"/>
      <c r="U13" s="12"/>
      <c r="X13" s="5"/>
      <c r="AD13" s="96" t="s">
        <v>148</v>
      </c>
      <c r="AF13" s="11">
        <v>0</v>
      </c>
      <c r="AG13" s="12">
        <v>1</v>
      </c>
      <c r="AH13" s="14">
        <v>0</v>
      </c>
    </row>
    <row r="14" spans="1:34" ht="48" x14ac:dyDescent="0.2">
      <c r="A14" s="25" t="s">
        <v>63</v>
      </c>
      <c r="B14" s="6" t="s">
        <v>120</v>
      </c>
      <c r="C14" s="6" t="s">
        <v>121</v>
      </c>
      <c r="D14" s="26"/>
      <c r="E14" s="26"/>
      <c r="F14" s="26"/>
      <c r="G14" s="26"/>
      <c r="H14" s="26"/>
      <c r="I14" s="12"/>
      <c r="K14" s="5"/>
      <c r="L14" s="5"/>
      <c r="N14" s="12"/>
      <c r="O14" s="12"/>
      <c r="Q14" s="5"/>
      <c r="R14" s="5"/>
      <c r="T14" s="12"/>
      <c r="U14" s="12"/>
      <c r="W14" s="5"/>
      <c r="X14" s="5"/>
      <c r="AD14" s="96" t="s">
        <v>162</v>
      </c>
      <c r="AE14" s="12"/>
      <c r="AF14" s="11">
        <v>0</v>
      </c>
      <c r="AG14" s="12">
        <v>1</v>
      </c>
      <c r="AH14" s="14">
        <v>0</v>
      </c>
    </row>
    <row r="15" spans="1:34" x14ac:dyDescent="0.2">
      <c r="A15" s="27" t="s">
        <v>6</v>
      </c>
      <c r="B15" s="11">
        <v>1</v>
      </c>
      <c r="D15" s="26"/>
      <c r="E15" s="26"/>
      <c r="F15" s="26"/>
      <c r="G15" s="26"/>
      <c r="H15" s="26"/>
      <c r="I15" s="12"/>
      <c r="K15" s="5"/>
      <c r="L15" s="5"/>
      <c r="N15" s="12"/>
      <c r="O15" s="12"/>
      <c r="Q15" s="5"/>
      <c r="R15" s="5"/>
      <c r="T15" s="12"/>
      <c r="U15" s="12"/>
      <c r="W15" s="5"/>
      <c r="X15" s="5"/>
      <c r="AD15" s="23" t="s">
        <v>155</v>
      </c>
      <c r="AE15" s="17"/>
      <c r="AF15" s="18">
        <v>0</v>
      </c>
      <c r="AG15" s="24">
        <v>1</v>
      </c>
      <c r="AH15" s="20">
        <v>0</v>
      </c>
    </row>
    <row r="16" spans="1:34" x14ac:dyDescent="0.2">
      <c r="A16" s="27" t="s">
        <v>34</v>
      </c>
      <c r="B16" s="11">
        <v>1</v>
      </c>
      <c r="D16" s="26"/>
      <c r="E16" s="26"/>
      <c r="F16" s="26"/>
      <c r="G16" s="26"/>
      <c r="H16" s="26"/>
      <c r="I16" s="12"/>
      <c r="K16" s="5"/>
      <c r="L16" s="5"/>
      <c r="N16" s="12"/>
      <c r="O16" s="12"/>
      <c r="Q16" s="5"/>
      <c r="R16" s="5"/>
      <c r="T16" s="12"/>
      <c r="U16" s="12"/>
      <c r="W16" s="5"/>
      <c r="X16" s="5"/>
    </row>
    <row r="17" spans="1:34" x14ac:dyDescent="0.2">
      <c r="A17" s="27" t="s">
        <v>4</v>
      </c>
      <c r="B17" s="11">
        <v>50</v>
      </c>
      <c r="D17" s="26"/>
      <c r="E17" s="26"/>
      <c r="F17" s="26"/>
      <c r="G17" s="26"/>
      <c r="H17" s="26"/>
      <c r="I17" s="12"/>
      <c r="K17" s="5"/>
      <c r="L17" s="5"/>
      <c r="N17" s="12"/>
      <c r="O17" s="12"/>
      <c r="Q17" s="5"/>
      <c r="R17" s="5"/>
      <c r="T17" s="12"/>
      <c r="U17" s="12"/>
      <c r="W17" s="5"/>
      <c r="X17" s="5"/>
    </row>
    <row r="18" spans="1:34" x14ac:dyDescent="0.2">
      <c r="A18" s="27" t="s">
        <v>5</v>
      </c>
      <c r="B18" s="28">
        <f>C18/C19</f>
        <v>3.8974358974358978</v>
      </c>
      <c r="C18" s="12">
        <f>7.8+(17.1+28.1)/2</f>
        <v>30.400000000000002</v>
      </c>
      <c r="D18" s="26"/>
      <c r="E18" s="26"/>
      <c r="F18" s="26"/>
      <c r="G18" s="26"/>
      <c r="H18" s="26"/>
      <c r="I18" s="12"/>
      <c r="K18" s="5"/>
      <c r="L18" s="5"/>
      <c r="N18" s="12"/>
      <c r="O18" s="12"/>
      <c r="Q18" s="5"/>
      <c r="R18" s="5"/>
      <c r="T18" s="12"/>
      <c r="U18" s="12"/>
      <c r="W18" s="5"/>
      <c r="X18" s="5"/>
      <c r="AD18"/>
      <c r="AE18"/>
      <c r="AF18"/>
      <c r="AG18"/>
      <c r="AH18"/>
    </row>
    <row r="19" spans="1:34" x14ac:dyDescent="0.2">
      <c r="A19" s="29" t="s">
        <v>0</v>
      </c>
      <c r="B19" s="16">
        <v>1.2</v>
      </c>
      <c r="C19" s="4">
        <f>7.8</f>
        <v>7.8</v>
      </c>
      <c r="D19" s="26"/>
      <c r="E19" s="26"/>
      <c r="F19" s="26"/>
      <c r="G19" s="26"/>
      <c r="H19" s="26"/>
      <c r="I19" s="12"/>
      <c r="K19" s="5"/>
      <c r="L19" s="5"/>
      <c r="N19" s="12"/>
      <c r="O19" s="12"/>
      <c r="Q19" s="5"/>
      <c r="R19" s="5"/>
      <c r="T19" s="12"/>
      <c r="U19" s="12"/>
      <c r="W19" s="5"/>
      <c r="X19" s="5"/>
    </row>
    <row r="20" spans="1:34" x14ac:dyDescent="0.2">
      <c r="A20" s="30"/>
      <c r="B20" s="30"/>
      <c r="C20" s="30"/>
      <c r="D20" s="4"/>
      <c r="E20" s="4"/>
      <c r="F20" s="3"/>
      <c r="G20" s="3"/>
      <c r="I20" s="12"/>
      <c r="K20" s="5"/>
      <c r="L20" s="5"/>
      <c r="N20" s="12"/>
      <c r="O20" s="12"/>
      <c r="Q20" s="5"/>
      <c r="R20" s="5"/>
      <c r="T20" s="12"/>
      <c r="U20" s="12"/>
      <c r="W20" s="5"/>
      <c r="X20" s="5"/>
    </row>
    <row r="21" spans="1:34" ht="22" x14ac:dyDescent="0.2">
      <c r="A21" s="2" t="s">
        <v>102</v>
      </c>
      <c r="B21" s="31"/>
      <c r="C21" s="31"/>
      <c r="D21" s="31"/>
      <c r="E21" s="31"/>
      <c r="F21" s="31"/>
      <c r="G21" s="31"/>
      <c r="H21" s="12"/>
      <c r="I21" s="12"/>
      <c r="K21" s="5"/>
      <c r="L21" s="5"/>
      <c r="M21" s="12"/>
      <c r="N21" s="12"/>
      <c r="O21" s="12"/>
      <c r="P21" s="5"/>
      <c r="Q21" s="5"/>
      <c r="R21" s="5"/>
      <c r="S21" s="12"/>
      <c r="T21" s="12"/>
      <c r="U21" s="12"/>
      <c r="V21" s="5"/>
      <c r="W21" s="5"/>
      <c r="X21" s="5"/>
      <c r="AC21" s="12"/>
    </row>
    <row r="22" spans="1:34" ht="48" x14ac:dyDescent="0.2">
      <c r="A22" s="32" t="s">
        <v>50</v>
      </c>
      <c r="B22" s="33"/>
      <c r="C22" s="311" t="s">
        <v>89</v>
      </c>
      <c r="D22" s="311"/>
      <c r="E22" s="34" t="s">
        <v>83</v>
      </c>
      <c r="F22" s="311" t="s">
        <v>90</v>
      </c>
      <c r="G22" s="311"/>
      <c r="H22" s="35" t="s">
        <v>55</v>
      </c>
      <c r="I22" s="319" t="s">
        <v>133</v>
      </c>
      <c r="J22" s="320"/>
      <c r="K22" s="319" t="s">
        <v>132</v>
      </c>
      <c r="L22" s="320"/>
      <c r="M22" s="311" t="s">
        <v>122</v>
      </c>
      <c r="N22" s="311"/>
      <c r="O22" s="36"/>
      <c r="P22" s="5"/>
      <c r="Q22" s="5"/>
      <c r="R22" s="5"/>
      <c r="S22" s="12"/>
      <c r="T22" s="12"/>
      <c r="U22" s="12"/>
      <c r="V22" s="5"/>
      <c r="W22" s="5"/>
      <c r="X22" s="5"/>
      <c r="AC22" s="12"/>
      <c r="AD22" s="95"/>
      <c r="AE22" s="12"/>
      <c r="AF22" s="12"/>
      <c r="AG22" s="5"/>
      <c r="AH22" s="5"/>
    </row>
    <row r="23" spans="1:34" x14ac:dyDescent="0.2">
      <c r="A23" s="5" t="s">
        <v>161</v>
      </c>
      <c r="B23" s="37">
        <v>2</v>
      </c>
      <c r="C23" s="38" t="s">
        <v>74</v>
      </c>
      <c r="D23" s="12" t="s">
        <v>23</v>
      </c>
      <c r="E23" s="39">
        <v>0</v>
      </c>
      <c r="F23" s="38" t="s">
        <v>91</v>
      </c>
      <c r="G23" s="12" t="s">
        <v>23</v>
      </c>
      <c r="H23" s="40" t="s">
        <v>56</v>
      </c>
      <c r="I23" s="12" t="s">
        <v>126</v>
      </c>
      <c r="J23" s="12">
        <v>7</v>
      </c>
      <c r="K23" s="41" t="s">
        <v>61</v>
      </c>
      <c r="L23" s="12">
        <v>0</v>
      </c>
      <c r="M23" s="42">
        <v>-3</v>
      </c>
      <c r="N23" s="43" t="s">
        <v>52</v>
      </c>
      <c r="O23" s="26"/>
      <c r="P23" s="5" t="s">
        <v>64</v>
      </c>
      <c r="Q23" s="5"/>
      <c r="R23" s="5"/>
      <c r="S23" s="12"/>
      <c r="T23" s="12"/>
      <c r="U23" s="12"/>
      <c r="V23" s="5"/>
      <c r="W23" s="5"/>
      <c r="X23" s="5"/>
      <c r="AC23" s="12"/>
      <c r="AD23" s="95"/>
      <c r="AE23" s="12"/>
      <c r="AF23" s="12"/>
      <c r="AG23" s="5"/>
      <c r="AH23" s="5"/>
    </row>
    <row r="24" spans="1:34" x14ac:dyDescent="0.2">
      <c r="A24" s="5" t="s">
        <v>51</v>
      </c>
      <c r="B24" s="37">
        <v>1</v>
      </c>
      <c r="C24" s="44" t="s">
        <v>75</v>
      </c>
      <c r="D24" s="12" t="s">
        <v>21</v>
      </c>
      <c r="E24" s="45">
        <v>1</v>
      </c>
      <c r="F24" s="44" t="s">
        <v>92</v>
      </c>
      <c r="G24" s="12" t="s">
        <v>21</v>
      </c>
      <c r="H24" s="40" t="s">
        <v>57</v>
      </c>
      <c r="I24" s="41" t="s">
        <v>61</v>
      </c>
      <c r="J24" s="12">
        <v>6</v>
      </c>
      <c r="K24" s="41" t="s">
        <v>3</v>
      </c>
      <c r="L24" s="12">
        <v>0.5</v>
      </c>
      <c r="M24" s="41">
        <v>-2.5</v>
      </c>
      <c r="N24" s="46" t="s">
        <v>52</v>
      </c>
      <c r="O24" s="26"/>
      <c r="P24" s="5" t="s">
        <v>160</v>
      </c>
      <c r="Q24" s="5"/>
      <c r="R24" s="5"/>
      <c r="S24" s="12"/>
      <c r="T24" s="12"/>
      <c r="U24" s="12"/>
      <c r="V24" s="5"/>
      <c r="W24" s="5"/>
      <c r="X24" s="5"/>
      <c r="AC24" s="12"/>
      <c r="AD24" s="95"/>
      <c r="AE24" s="12"/>
      <c r="AF24" s="12"/>
      <c r="AG24" s="5"/>
      <c r="AH24" s="5"/>
    </row>
    <row r="25" spans="1:34" x14ac:dyDescent="0.2">
      <c r="A25" s="5" t="s">
        <v>65</v>
      </c>
      <c r="B25" s="37">
        <v>0.5</v>
      </c>
      <c r="C25" s="47" t="s">
        <v>76</v>
      </c>
      <c r="D25" s="4" t="s">
        <v>22</v>
      </c>
      <c r="E25" s="45">
        <v>2</v>
      </c>
      <c r="F25" s="47" t="s">
        <v>93</v>
      </c>
      <c r="G25" s="4" t="s">
        <v>22</v>
      </c>
      <c r="H25" s="40" t="s">
        <v>58</v>
      </c>
      <c r="I25" s="41" t="s">
        <v>3</v>
      </c>
      <c r="J25" s="12">
        <v>5</v>
      </c>
      <c r="K25" s="41" t="s">
        <v>1</v>
      </c>
      <c r="L25" s="12">
        <v>1</v>
      </c>
      <c r="M25" s="42">
        <v>-2</v>
      </c>
      <c r="N25" s="46" t="s">
        <v>52</v>
      </c>
      <c r="O25" s="26"/>
      <c r="P25" s="5"/>
      <c r="Q25" s="5"/>
      <c r="R25" s="5"/>
      <c r="S25" s="12"/>
      <c r="T25" s="12"/>
      <c r="U25" s="12"/>
      <c r="V25" s="5"/>
      <c r="W25" s="5"/>
      <c r="X25" s="5"/>
      <c r="AC25" s="12"/>
      <c r="AD25" s="95"/>
      <c r="AE25" s="12"/>
      <c r="AF25" s="12"/>
      <c r="AG25" s="5"/>
      <c r="AH25" s="5"/>
    </row>
    <row r="26" spans="1:34" x14ac:dyDescent="0.2">
      <c r="A26" s="5" t="s">
        <v>24</v>
      </c>
      <c r="B26" s="37">
        <v>0</v>
      </c>
      <c r="D26" s="5"/>
      <c r="E26" s="45">
        <v>3</v>
      </c>
      <c r="F26" s="5"/>
      <c r="H26" s="48" t="s">
        <v>59</v>
      </c>
      <c r="I26" s="41" t="s">
        <v>1</v>
      </c>
      <c r="J26" s="12">
        <v>4</v>
      </c>
      <c r="K26" s="41" t="s">
        <v>2</v>
      </c>
      <c r="L26" s="12">
        <v>1.5</v>
      </c>
      <c r="M26" s="41">
        <v>-1.5</v>
      </c>
      <c r="N26" s="46" t="s">
        <v>52</v>
      </c>
      <c r="O26" s="26"/>
      <c r="Q26" s="5"/>
      <c r="R26" s="5"/>
      <c r="S26" s="12"/>
      <c r="T26" s="12"/>
      <c r="U26" s="12"/>
      <c r="V26" s="5"/>
      <c r="W26" s="5"/>
      <c r="X26" s="5"/>
      <c r="AC26" s="12"/>
      <c r="AD26" s="95"/>
      <c r="AE26" s="12"/>
      <c r="AF26" s="12"/>
      <c r="AG26" s="5"/>
      <c r="AH26" s="5"/>
    </row>
    <row r="27" spans="1:34" x14ac:dyDescent="0.2">
      <c r="A27" s="5" t="s">
        <v>66</v>
      </c>
      <c r="B27" s="37">
        <v>-0.5</v>
      </c>
      <c r="D27" s="5"/>
      <c r="E27" s="45">
        <v>4</v>
      </c>
      <c r="F27" s="5"/>
      <c r="H27" s="12"/>
      <c r="I27" s="41" t="s">
        <v>2</v>
      </c>
      <c r="J27" s="12">
        <v>3</v>
      </c>
      <c r="K27" s="41" t="s">
        <v>10</v>
      </c>
      <c r="L27" s="12">
        <v>2</v>
      </c>
      <c r="M27" s="42">
        <v>-1</v>
      </c>
      <c r="N27" s="46" t="s">
        <v>52</v>
      </c>
      <c r="O27" s="26"/>
      <c r="P27" s="5"/>
      <c r="Q27" s="5"/>
      <c r="R27" s="5"/>
      <c r="S27" s="12"/>
      <c r="T27" s="12"/>
      <c r="U27" s="12"/>
      <c r="V27" s="5"/>
      <c r="W27" s="5"/>
      <c r="X27" s="5"/>
      <c r="AC27" s="12"/>
      <c r="AD27" s="95"/>
      <c r="AE27" s="12"/>
      <c r="AG27" s="5"/>
      <c r="AH27" s="5"/>
    </row>
    <row r="28" spans="1:34" x14ac:dyDescent="0.2">
      <c r="A28" s="49" t="s">
        <v>52</v>
      </c>
      <c r="B28" s="50">
        <v>-1</v>
      </c>
      <c r="D28" s="5"/>
      <c r="E28" s="45">
        <v>5</v>
      </c>
      <c r="F28" s="5"/>
      <c r="H28" s="12"/>
      <c r="I28" s="41" t="s">
        <v>10</v>
      </c>
      <c r="J28" s="12">
        <v>2</v>
      </c>
      <c r="K28" s="41" t="s">
        <v>62</v>
      </c>
      <c r="L28" s="12">
        <v>2.5</v>
      </c>
      <c r="M28" s="41">
        <v>-0.5</v>
      </c>
      <c r="N28" s="51" t="s">
        <v>66</v>
      </c>
      <c r="P28" s="5"/>
      <c r="Q28" s="5"/>
      <c r="R28" s="5"/>
      <c r="S28" s="12"/>
      <c r="T28" s="12"/>
      <c r="U28" s="12"/>
      <c r="V28" s="5"/>
      <c r="W28" s="5"/>
      <c r="X28" s="5"/>
      <c r="AC28" s="12"/>
      <c r="AD28" s="95"/>
    </row>
    <row r="29" spans="1:34" x14ac:dyDescent="0.2">
      <c r="A29" s="5" t="s">
        <v>61</v>
      </c>
      <c r="D29" s="5"/>
      <c r="E29" s="45">
        <v>6</v>
      </c>
      <c r="F29" s="5"/>
      <c r="H29" s="12"/>
      <c r="I29" s="41" t="s">
        <v>62</v>
      </c>
      <c r="J29" s="12">
        <v>1</v>
      </c>
      <c r="K29" s="52" t="s">
        <v>125</v>
      </c>
      <c r="L29" s="12">
        <v>3</v>
      </c>
      <c r="M29" s="42">
        <v>0</v>
      </c>
      <c r="N29" s="51" t="s">
        <v>24</v>
      </c>
      <c r="P29" s="5"/>
      <c r="Q29" s="5"/>
      <c r="R29" s="5"/>
      <c r="S29" s="12"/>
      <c r="T29" s="12"/>
      <c r="U29" s="12"/>
      <c r="V29" s="5"/>
      <c r="W29" s="5"/>
      <c r="X29" s="5"/>
      <c r="AC29" s="12"/>
      <c r="AD29" s="95"/>
      <c r="AG29" s="5"/>
      <c r="AH29" s="5"/>
    </row>
    <row r="30" spans="1:34" x14ac:dyDescent="0.2">
      <c r="A30" s="5" t="s">
        <v>3</v>
      </c>
      <c r="D30" s="5"/>
      <c r="E30" s="53">
        <v>7</v>
      </c>
      <c r="F30" s="5"/>
      <c r="H30" s="12"/>
      <c r="I30" s="52" t="s">
        <v>125</v>
      </c>
      <c r="J30" s="12">
        <v>0</v>
      </c>
      <c r="K30" s="5"/>
      <c r="L30" s="5"/>
      <c r="M30" s="41">
        <v>0.5</v>
      </c>
      <c r="N30" s="51" t="s">
        <v>65</v>
      </c>
      <c r="P30" s="5"/>
      <c r="Q30" s="5"/>
      <c r="R30" s="5"/>
      <c r="S30" s="12"/>
      <c r="T30" s="12"/>
      <c r="U30" s="12"/>
      <c r="V30" s="5"/>
      <c r="W30" s="5"/>
      <c r="X30" s="5"/>
      <c r="AC30" s="12"/>
      <c r="AD30" s="95"/>
      <c r="AG30" s="5"/>
      <c r="AH30" s="5"/>
    </row>
    <row r="31" spans="1:34" x14ac:dyDescent="0.2">
      <c r="A31" s="5" t="s">
        <v>1</v>
      </c>
      <c r="E31" s="5"/>
      <c r="F31" s="5"/>
      <c r="H31" s="12"/>
      <c r="I31" s="12"/>
      <c r="K31" s="5"/>
      <c r="L31" s="5"/>
      <c r="M31" s="42">
        <v>1</v>
      </c>
      <c r="N31" s="51" t="s">
        <v>51</v>
      </c>
      <c r="P31" s="5"/>
      <c r="Q31" s="5"/>
      <c r="R31" s="5"/>
      <c r="S31" s="12"/>
      <c r="T31" s="12"/>
      <c r="U31" s="12"/>
      <c r="V31" s="5"/>
      <c r="W31" s="5"/>
      <c r="X31" s="5"/>
      <c r="AC31" s="12"/>
      <c r="AD31" s="95"/>
      <c r="AG31" s="5"/>
      <c r="AH31" s="5"/>
    </row>
    <row r="32" spans="1:34" x14ac:dyDescent="0.2">
      <c r="A32" s="5" t="s">
        <v>2</v>
      </c>
      <c r="E32" s="5"/>
      <c r="F32" s="5"/>
      <c r="H32" s="12"/>
      <c r="I32" s="12"/>
      <c r="K32" s="5"/>
      <c r="L32" s="5"/>
      <c r="M32" s="41">
        <v>1.5</v>
      </c>
      <c r="N32" s="51" t="s">
        <v>51</v>
      </c>
      <c r="P32" s="5"/>
      <c r="Q32" s="5"/>
      <c r="R32" s="5"/>
      <c r="S32" s="12"/>
      <c r="T32" s="12"/>
      <c r="U32" s="12"/>
      <c r="V32" s="5"/>
      <c r="W32" s="5"/>
      <c r="X32" s="5"/>
      <c r="AC32" s="12"/>
      <c r="AD32" s="95"/>
      <c r="AG32" s="5"/>
      <c r="AH32" s="5"/>
    </row>
    <row r="33" spans="1:34" x14ac:dyDescent="0.2">
      <c r="A33" s="5" t="s">
        <v>10</v>
      </c>
      <c r="F33" s="5"/>
      <c r="I33" s="12"/>
      <c r="K33" s="5"/>
      <c r="L33" s="5"/>
      <c r="M33" s="42">
        <v>2</v>
      </c>
      <c r="N33" s="51" t="s">
        <v>51</v>
      </c>
      <c r="Q33" s="5"/>
      <c r="R33" s="5"/>
      <c r="T33" s="12"/>
      <c r="U33" s="12"/>
      <c r="W33" s="5"/>
      <c r="X33" s="5"/>
      <c r="AG33" s="5"/>
      <c r="AH33" s="5"/>
    </row>
    <row r="34" spans="1:34" x14ac:dyDescent="0.2">
      <c r="A34" s="5" t="s">
        <v>62</v>
      </c>
      <c r="F34" s="5"/>
      <c r="I34" s="12"/>
      <c r="K34" s="5"/>
      <c r="L34" s="5"/>
      <c r="M34" s="41">
        <v>2.5</v>
      </c>
      <c r="N34" s="51" t="s">
        <v>51</v>
      </c>
      <c r="Q34" s="5"/>
      <c r="R34" s="5"/>
      <c r="T34" s="12"/>
      <c r="U34" s="12"/>
      <c r="W34" s="5"/>
      <c r="X34" s="5"/>
      <c r="AD34" s="12"/>
      <c r="AE34" s="12"/>
      <c r="AF34" s="12"/>
      <c r="AG34" s="5"/>
      <c r="AH34" s="5"/>
    </row>
    <row r="35" spans="1:34" x14ac:dyDescent="0.2">
      <c r="F35" s="5"/>
      <c r="I35" s="12"/>
      <c r="K35" s="5"/>
      <c r="L35" s="5"/>
      <c r="M35" s="42">
        <v>3</v>
      </c>
      <c r="N35" s="54" t="s">
        <v>51</v>
      </c>
      <c r="Q35" s="5"/>
      <c r="R35" s="5"/>
      <c r="T35" s="12"/>
      <c r="U35" s="12"/>
      <c r="W35" s="5"/>
      <c r="X35" s="5"/>
      <c r="AD35" s="12"/>
      <c r="AE35" s="12"/>
      <c r="AF35" s="12"/>
      <c r="AG35" s="5"/>
      <c r="AH35" s="5"/>
    </row>
    <row r="36" spans="1:34" x14ac:dyDescent="0.2">
      <c r="F36" s="5"/>
      <c r="I36" s="12"/>
      <c r="K36" s="5"/>
      <c r="L36" s="5"/>
      <c r="N36" s="12"/>
      <c r="O36" s="12"/>
      <c r="Q36" s="5"/>
      <c r="R36" s="5"/>
      <c r="T36" s="12"/>
      <c r="U36" s="12"/>
      <c r="W36" s="5"/>
      <c r="X36" s="5"/>
      <c r="AD36" s="12"/>
      <c r="AE36" s="12"/>
      <c r="AF36" s="12"/>
      <c r="AG36" s="5"/>
      <c r="AH36" s="5"/>
    </row>
    <row r="37" spans="1:34" x14ac:dyDescent="0.2">
      <c r="F37" s="5"/>
      <c r="I37" s="12"/>
      <c r="K37" s="5"/>
      <c r="L37" s="5"/>
      <c r="N37" s="12"/>
      <c r="O37" s="12"/>
      <c r="Q37" s="5"/>
      <c r="R37" s="5"/>
      <c r="T37" s="12"/>
      <c r="U37" s="12"/>
      <c r="W37" s="5"/>
      <c r="X37" s="5"/>
      <c r="AD37" s="12"/>
      <c r="AE37" s="12"/>
      <c r="AF37" s="12"/>
      <c r="AG37" s="5"/>
      <c r="AH37" s="5"/>
    </row>
  </sheetData>
  <mergeCells count="16">
    <mergeCell ref="AD2:AH2"/>
    <mergeCell ref="Y2:AC2"/>
    <mergeCell ref="Z3:AA3"/>
    <mergeCell ref="K22:L22"/>
    <mergeCell ref="M22:N22"/>
    <mergeCell ref="C22:D22"/>
    <mergeCell ref="A2:F2"/>
    <mergeCell ref="G2:L2"/>
    <mergeCell ref="M2:R2"/>
    <mergeCell ref="S2:X2"/>
    <mergeCell ref="F22:G22"/>
    <mergeCell ref="B3:C3"/>
    <mergeCell ref="H3:I3"/>
    <mergeCell ref="N3:O3"/>
    <mergeCell ref="T3:U3"/>
    <mergeCell ref="I22:J22"/>
  </mergeCells>
  <pageMargins left="0.7" right="0.7" top="0.75" bottom="0.75" header="0.3" footer="0.3"/>
  <pageSetup orientation="portrait" r:id="rId1"/>
  <ignoredErrors>
    <ignoredError sqref="H6:H7 N8:N10" twoDigitTextYear="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9E4DF-BB71-4942-97F3-DFDBFFFCED05}">
  <sheetPr codeName="Sheet16"/>
  <dimension ref="A1:P39"/>
  <sheetViews>
    <sheetView workbookViewId="0">
      <selection sqref="A1:K1"/>
    </sheetView>
  </sheetViews>
  <sheetFormatPr baseColWidth="10" defaultColWidth="9.1640625" defaultRowHeight="15" x14ac:dyDescent="0.2"/>
  <cols>
    <col min="1" max="1" width="22.5" style="1" customWidth="1"/>
    <col min="2" max="2" width="22.33203125" style="1" customWidth="1"/>
    <col min="3" max="16384" width="9.1640625" style="1"/>
  </cols>
  <sheetData>
    <row r="1" spans="1:16" x14ac:dyDescent="0.2">
      <c r="N1" s="326" t="s">
        <v>157</v>
      </c>
      <c r="O1" s="326"/>
      <c r="P1" s="326"/>
    </row>
    <row r="2" spans="1:16" ht="35.25" customHeight="1" x14ac:dyDescent="0.2">
      <c r="C2" s="327" t="s">
        <v>145</v>
      </c>
      <c r="D2" s="328"/>
      <c r="E2" s="328"/>
      <c r="N2" s="329" t="s">
        <v>144</v>
      </c>
      <c r="O2" s="330"/>
      <c r="P2" s="331"/>
    </row>
    <row r="3" spans="1:16" ht="32" x14ac:dyDescent="0.2">
      <c r="A3" s="82" t="s">
        <v>11</v>
      </c>
      <c r="B3" s="82" t="s">
        <v>12</v>
      </c>
      <c r="C3" s="82" t="s">
        <v>13</v>
      </c>
      <c r="D3" s="82" t="s">
        <v>14</v>
      </c>
      <c r="E3" s="82" t="s">
        <v>15</v>
      </c>
      <c r="N3" s="90" t="s">
        <v>13</v>
      </c>
      <c r="O3" s="90" t="s">
        <v>14</v>
      </c>
      <c r="P3" s="90" t="s">
        <v>15</v>
      </c>
    </row>
    <row r="4" spans="1:16" x14ac:dyDescent="0.2">
      <c r="A4" s="332" t="s">
        <v>139</v>
      </c>
      <c r="B4" s="83" t="s">
        <v>165</v>
      </c>
      <c r="C4" s="84" t="s">
        <v>3</v>
      </c>
      <c r="D4" s="84" t="s">
        <v>3</v>
      </c>
      <c r="E4" s="84" t="s">
        <v>3</v>
      </c>
      <c r="N4" s="91" t="s">
        <v>1</v>
      </c>
      <c r="O4" s="91" t="s">
        <v>1</v>
      </c>
      <c r="P4" s="91" t="s">
        <v>1</v>
      </c>
    </row>
    <row r="5" spans="1:16" x14ac:dyDescent="0.2">
      <c r="A5" s="332"/>
      <c r="B5" s="85" t="s">
        <v>166</v>
      </c>
      <c r="C5" s="86" t="s">
        <v>1</v>
      </c>
      <c r="D5" s="86" t="s">
        <v>1</v>
      </c>
      <c r="E5" s="86" t="s">
        <v>1</v>
      </c>
      <c r="N5" s="92" t="s">
        <v>2</v>
      </c>
      <c r="O5" s="92" t="s">
        <v>2</v>
      </c>
      <c r="P5" s="92" t="s">
        <v>2</v>
      </c>
    </row>
    <row r="6" spans="1:16" x14ac:dyDescent="0.2">
      <c r="A6" s="332"/>
      <c r="B6" s="85" t="s">
        <v>48</v>
      </c>
      <c r="C6" s="87" t="s">
        <v>2</v>
      </c>
      <c r="D6" s="87" t="s">
        <v>2</v>
      </c>
      <c r="E6" s="87" t="s">
        <v>2</v>
      </c>
      <c r="N6" s="92"/>
      <c r="O6" s="92"/>
      <c r="P6" s="92"/>
    </row>
    <row r="7" spans="1:16" x14ac:dyDescent="0.2">
      <c r="A7" s="333"/>
      <c r="B7" s="85" t="s">
        <v>49</v>
      </c>
      <c r="C7" s="87" t="s">
        <v>2</v>
      </c>
      <c r="D7" s="87" t="s">
        <v>2</v>
      </c>
      <c r="E7" s="87" t="s">
        <v>2</v>
      </c>
      <c r="N7" s="92"/>
      <c r="O7" s="92"/>
      <c r="P7" s="92"/>
    </row>
    <row r="8" spans="1:16" x14ac:dyDescent="0.2">
      <c r="A8" s="339" t="s">
        <v>140</v>
      </c>
      <c r="B8" s="85" t="s">
        <v>168</v>
      </c>
      <c r="C8" s="88" t="s">
        <v>3</v>
      </c>
      <c r="D8" s="88" t="s">
        <v>3</v>
      </c>
      <c r="E8" s="88" t="s">
        <v>3</v>
      </c>
      <c r="N8" s="93" t="s">
        <v>1</v>
      </c>
      <c r="O8" s="93" t="s">
        <v>1</v>
      </c>
      <c r="P8" s="93" t="s">
        <v>1</v>
      </c>
    </row>
    <row r="9" spans="1:16" x14ac:dyDescent="0.2">
      <c r="A9" s="340"/>
      <c r="B9" s="85" t="s">
        <v>177</v>
      </c>
      <c r="C9" s="88" t="s">
        <v>3</v>
      </c>
      <c r="D9" s="88" t="s">
        <v>3</v>
      </c>
      <c r="E9" s="88" t="s">
        <v>3</v>
      </c>
      <c r="N9" s="93" t="s">
        <v>1</v>
      </c>
      <c r="O9" s="93" t="s">
        <v>1</v>
      </c>
      <c r="P9" s="93" t="s">
        <v>1</v>
      </c>
    </row>
    <row r="10" spans="1:16" x14ac:dyDescent="0.2">
      <c r="A10" s="340"/>
      <c r="B10" s="85" t="s">
        <v>35</v>
      </c>
      <c r="C10" s="86" t="s">
        <v>1</v>
      </c>
      <c r="D10" s="86" t="s">
        <v>1</v>
      </c>
      <c r="E10" s="86" t="s">
        <v>1</v>
      </c>
      <c r="N10" s="93"/>
      <c r="O10" s="93"/>
      <c r="P10" s="93"/>
    </row>
    <row r="11" spans="1:16" x14ac:dyDescent="0.2">
      <c r="A11" s="340"/>
      <c r="B11" s="85" t="s">
        <v>77</v>
      </c>
      <c r="C11" s="87" t="s">
        <v>2</v>
      </c>
      <c r="D11" s="87" t="s">
        <v>2</v>
      </c>
      <c r="E11" s="87" t="s">
        <v>2</v>
      </c>
      <c r="N11" s="93"/>
      <c r="O11" s="93"/>
      <c r="P11" s="93"/>
    </row>
    <row r="12" spans="1:16" x14ac:dyDescent="0.2">
      <c r="A12" s="340"/>
      <c r="B12" s="85" t="s">
        <v>78</v>
      </c>
      <c r="C12" s="87" t="s">
        <v>2</v>
      </c>
      <c r="D12" s="87" t="s">
        <v>2</v>
      </c>
      <c r="E12" s="87" t="s">
        <v>2</v>
      </c>
      <c r="N12" s="93"/>
      <c r="O12" s="93"/>
      <c r="P12" s="93"/>
    </row>
    <row r="13" spans="1:16" x14ac:dyDescent="0.2">
      <c r="A13" s="340"/>
      <c r="B13" s="85" t="s">
        <v>79</v>
      </c>
      <c r="C13" s="87" t="s">
        <v>2</v>
      </c>
      <c r="D13" s="87" t="s">
        <v>2</v>
      </c>
      <c r="E13" s="87" t="s">
        <v>2</v>
      </c>
      <c r="N13" s="93"/>
      <c r="O13" s="93"/>
      <c r="P13" s="93"/>
    </row>
    <row r="14" spans="1:16" x14ac:dyDescent="0.2">
      <c r="A14" s="341"/>
      <c r="B14" s="85" t="s">
        <v>183</v>
      </c>
      <c r="C14" s="106" t="s">
        <v>10</v>
      </c>
      <c r="D14" s="106" t="s">
        <v>10</v>
      </c>
      <c r="E14" s="106" t="s">
        <v>10</v>
      </c>
      <c r="N14" s="93"/>
      <c r="O14" s="93"/>
      <c r="P14" s="93"/>
    </row>
    <row r="15" spans="1:16" ht="24.75" customHeight="1" x14ac:dyDescent="0.2">
      <c r="A15" s="334" t="s">
        <v>141</v>
      </c>
      <c r="B15" s="85" t="s">
        <v>169</v>
      </c>
      <c r="C15" s="88" t="s">
        <v>3</v>
      </c>
      <c r="D15" s="88" t="s">
        <v>3</v>
      </c>
      <c r="E15" s="88" t="s">
        <v>3</v>
      </c>
      <c r="N15" s="93" t="s">
        <v>1</v>
      </c>
      <c r="O15" s="93" t="s">
        <v>1</v>
      </c>
      <c r="P15" s="93" t="s">
        <v>1</v>
      </c>
    </row>
    <row r="16" spans="1:16" ht="23" customHeight="1" x14ac:dyDescent="0.2">
      <c r="A16" s="335"/>
      <c r="B16" s="85" t="s">
        <v>170</v>
      </c>
      <c r="C16" s="86" t="s">
        <v>1</v>
      </c>
      <c r="D16" s="86" t="s">
        <v>1</v>
      </c>
      <c r="E16" s="86" t="s">
        <v>1</v>
      </c>
      <c r="N16" s="92" t="s">
        <v>2</v>
      </c>
      <c r="O16" s="92" t="s">
        <v>2</v>
      </c>
      <c r="P16" s="92" t="s">
        <v>2</v>
      </c>
    </row>
    <row r="17" spans="1:16" ht="23" customHeight="1" x14ac:dyDescent="0.2">
      <c r="A17" s="335"/>
      <c r="B17" s="85" t="s">
        <v>171</v>
      </c>
      <c r="C17" s="87" t="s">
        <v>2</v>
      </c>
      <c r="D17" s="86" t="s">
        <v>1</v>
      </c>
      <c r="E17" s="87" t="s">
        <v>2</v>
      </c>
      <c r="N17" s="94" t="s">
        <v>10</v>
      </c>
      <c r="O17" s="92" t="s">
        <v>2</v>
      </c>
      <c r="P17" s="94" t="s">
        <v>10</v>
      </c>
    </row>
    <row r="18" spans="1:16" x14ac:dyDescent="0.2">
      <c r="A18" s="335"/>
      <c r="B18" s="85" t="s">
        <v>38</v>
      </c>
      <c r="C18" s="87" t="s">
        <v>2</v>
      </c>
      <c r="D18" s="86" t="s">
        <v>1</v>
      </c>
      <c r="E18" s="87" t="s">
        <v>2</v>
      </c>
      <c r="N18" s="94"/>
      <c r="O18" s="92"/>
      <c r="P18" s="94"/>
    </row>
    <row r="19" spans="1:16" x14ac:dyDescent="0.2">
      <c r="A19" s="335"/>
      <c r="B19" s="85" t="s">
        <v>39</v>
      </c>
      <c r="C19" s="87" t="s">
        <v>2</v>
      </c>
      <c r="D19" s="87" t="s">
        <v>2</v>
      </c>
      <c r="E19" s="87" t="s">
        <v>2</v>
      </c>
      <c r="N19" s="94"/>
      <c r="O19" s="92"/>
      <c r="P19" s="94"/>
    </row>
    <row r="20" spans="1:16" x14ac:dyDescent="0.2">
      <c r="A20" s="335"/>
      <c r="B20" s="85" t="s">
        <v>40</v>
      </c>
      <c r="C20" s="106" t="s">
        <v>10</v>
      </c>
      <c r="D20" s="106" t="s">
        <v>10</v>
      </c>
      <c r="E20" s="106" t="s">
        <v>10</v>
      </c>
      <c r="N20" s="94"/>
      <c r="O20" s="92"/>
      <c r="P20" s="94"/>
    </row>
    <row r="21" spans="1:16" x14ac:dyDescent="0.2">
      <c r="A21" s="335"/>
      <c r="B21" s="85" t="s">
        <v>41</v>
      </c>
      <c r="C21" s="87" t="s">
        <v>2</v>
      </c>
      <c r="D21" s="105" t="s">
        <v>87</v>
      </c>
      <c r="E21" s="87" t="s">
        <v>2</v>
      </c>
      <c r="N21" s="94"/>
      <c r="O21" s="92"/>
      <c r="P21" s="94"/>
    </row>
    <row r="22" spans="1:16" x14ac:dyDescent="0.2">
      <c r="A22" s="336" t="s">
        <v>142</v>
      </c>
      <c r="B22" s="85" t="s">
        <v>172</v>
      </c>
      <c r="C22" s="86" t="s">
        <v>1</v>
      </c>
      <c r="D22" s="88" t="s">
        <v>3</v>
      </c>
      <c r="E22" s="86" t="s">
        <v>1</v>
      </c>
      <c r="N22" s="92" t="s">
        <v>2</v>
      </c>
      <c r="O22" s="93" t="s">
        <v>1</v>
      </c>
      <c r="P22" s="92" t="s">
        <v>2</v>
      </c>
    </row>
    <row r="23" spans="1:16" x14ac:dyDescent="0.2">
      <c r="A23" s="337"/>
      <c r="B23" s="85" t="s">
        <v>173</v>
      </c>
      <c r="C23" s="86" t="s">
        <v>1</v>
      </c>
      <c r="D23" s="87" t="s">
        <v>2</v>
      </c>
      <c r="E23" s="86" t="s">
        <v>1</v>
      </c>
      <c r="N23" s="92" t="s">
        <v>2</v>
      </c>
      <c r="O23" s="94" t="s">
        <v>10</v>
      </c>
      <c r="P23" s="92" t="s">
        <v>2</v>
      </c>
    </row>
    <row r="24" spans="1:16" x14ac:dyDescent="0.2">
      <c r="A24" s="337"/>
      <c r="B24" s="85" t="s">
        <v>178</v>
      </c>
      <c r="C24" s="87" t="s">
        <v>2</v>
      </c>
      <c r="D24" s="87" t="s">
        <v>2</v>
      </c>
      <c r="E24" s="87" t="s">
        <v>2</v>
      </c>
      <c r="N24" s="92"/>
      <c r="O24" s="94"/>
      <c r="P24" s="92"/>
    </row>
    <row r="25" spans="1:16" x14ac:dyDescent="0.2">
      <c r="A25" s="337"/>
      <c r="B25" s="85" t="s">
        <v>179</v>
      </c>
      <c r="C25" s="87" t="s">
        <v>2</v>
      </c>
      <c r="D25" s="87" t="s">
        <v>2</v>
      </c>
      <c r="E25" s="87" t="s">
        <v>2</v>
      </c>
      <c r="N25" s="92"/>
      <c r="O25" s="94"/>
      <c r="P25" s="92"/>
    </row>
    <row r="26" spans="1:16" ht="26" x14ac:dyDescent="0.2">
      <c r="A26" s="337"/>
      <c r="B26" s="85" t="s">
        <v>180</v>
      </c>
      <c r="C26" s="87" t="s">
        <v>2</v>
      </c>
      <c r="D26" s="87" t="s">
        <v>2</v>
      </c>
      <c r="E26" s="87" t="s">
        <v>2</v>
      </c>
      <c r="N26" s="92"/>
      <c r="O26" s="94"/>
      <c r="P26" s="92"/>
    </row>
    <row r="27" spans="1:16" x14ac:dyDescent="0.2">
      <c r="A27" s="337"/>
      <c r="B27" s="85" t="s">
        <v>181</v>
      </c>
      <c r="C27" s="87" t="s">
        <v>2</v>
      </c>
      <c r="D27" s="87" t="s">
        <v>2</v>
      </c>
      <c r="E27" s="87" t="s">
        <v>2</v>
      </c>
      <c r="N27" s="92"/>
      <c r="O27" s="94"/>
      <c r="P27" s="92"/>
    </row>
    <row r="28" spans="1:16" x14ac:dyDescent="0.2">
      <c r="A28" s="337"/>
      <c r="B28" s="85" t="s">
        <v>182</v>
      </c>
      <c r="C28" s="87" t="s">
        <v>2</v>
      </c>
      <c r="D28" s="87" t="s">
        <v>2</v>
      </c>
      <c r="E28" s="87" t="s">
        <v>2</v>
      </c>
      <c r="N28" s="92"/>
      <c r="O28" s="94"/>
      <c r="P28" s="92"/>
    </row>
    <row r="29" spans="1:16" x14ac:dyDescent="0.2">
      <c r="A29" s="338"/>
      <c r="B29" s="85" t="s">
        <v>183</v>
      </c>
      <c r="C29" s="106" t="s">
        <v>10</v>
      </c>
      <c r="D29" s="106" t="s">
        <v>10</v>
      </c>
      <c r="E29" s="106" t="s">
        <v>10</v>
      </c>
      <c r="N29" s="92"/>
      <c r="O29" s="94"/>
      <c r="P29" s="92"/>
    </row>
    <row r="30" spans="1:16" x14ac:dyDescent="0.2">
      <c r="A30" s="324" t="s">
        <v>143</v>
      </c>
      <c r="B30" s="85" t="s">
        <v>174</v>
      </c>
      <c r="C30" s="86" t="s">
        <v>1</v>
      </c>
      <c r="D30" s="86" t="s">
        <v>1</v>
      </c>
      <c r="E30" s="86" t="s">
        <v>1</v>
      </c>
      <c r="N30" s="92" t="s">
        <v>2</v>
      </c>
      <c r="O30" s="92" t="s">
        <v>2</v>
      </c>
      <c r="P30" s="92" t="s">
        <v>2</v>
      </c>
    </row>
    <row r="31" spans="1:16" ht="26" x14ac:dyDescent="0.2">
      <c r="A31" s="325"/>
      <c r="B31" s="85" t="s">
        <v>175</v>
      </c>
      <c r="C31" s="86" t="s">
        <v>1</v>
      </c>
      <c r="D31" s="86" t="s">
        <v>1</v>
      </c>
      <c r="E31" s="86" t="s">
        <v>1</v>
      </c>
      <c r="N31" s="92" t="s">
        <v>2</v>
      </c>
      <c r="O31" s="92" t="s">
        <v>2</v>
      </c>
      <c r="P31" s="92" t="s">
        <v>2</v>
      </c>
    </row>
    <row r="32" spans="1:16" x14ac:dyDescent="0.2">
      <c r="A32" s="325"/>
      <c r="B32" s="85" t="s">
        <v>176</v>
      </c>
      <c r="C32" s="86" t="s">
        <v>1</v>
      </c>
      <c r="D32" s="87" t="s">
        <v>2</v>
      </c>
      <c r="E32" s="86" t="s">
        <v>1</v>
      </c>
      <c r="N32" s="92" t="s">
        <v>2</v>
      </c>
      <c r="O32" s="94" t="s">
        <v>10</v>
      </c>
      <c r="P32" s="92" t="s">
        <v>2</v>
      </c>
    </row>
    <row r="33" spans="1:16" x14ac:dyDescent="0.2">
      <c r="A33" s="107"/>
      <c r="B33" s="85" t="s">
        <v>184</v>
      </c>
      <c r="C33" s="87" t="s">
        <v>2</v>
      </c>
      <c r="D33" s="106" t="s">
        <v>10</v>
      </c>
      <c r="E33" s="87" t="s">
        <v>2</v>
      </c>
      <c r="N33" s="108"/>
      <c r="O33" s="109"/>
      <c r="P33" s="108"/>
    </row>
    <row r="34" spans="1:16" x14ac:dyDescent="0.2">
      <c r="A34" s="107"/>
      <c r="B34" s="85" t="s">
        <v>185</v>
      </c>
      <c r="C34" s="106" t="s">
        <v>10</v>
      </c>
      <c r="D34" s="106" t="s">
        <v>10</v>
      </c>
      <c r="E34" s="106" t="s">
        <v>10</v>
      </c>
      <c r="N34" s="108"/>
      <c r="O34" s="109"/>
      <c r="P34" s="108"/>
    </row>
    <row r="35" spans="1:16" x14ac:dyDescent="0.2">
      <c r="A35" s="110" t="s">
        <v>186</v>
      </c>
      <c r="C35" s="89"/>
      <c r="D35" s="89"/>
      <c r="E35" s="89"/>
    </row>
    <row r="36" spans="1:16" x14ac:dyDescent="0.2">
      <c r="A36" s="110" t="s">
        <v>167</v>
      </c>
    </row>
    <row r="39" spans="1:16" customFormat="1" ht="15" customHeight="1" x14ac:dyDescent="0.2"/>
  </sheetData>
  <sheetProtection sheet="1" objects="1" scenarios="1"/>
  <mergeCells count="8">
    <mergeCell ref="A30:A32"/>
    <mergeCell ref="N1:P1"/>
    <mergeCell ref="C2:E2"/>
    <mergeCell ref="N2:P2"/>
    <mergeCell ref="A4:A7"/>
    <mergeCell ref="A15:A21"/>
    <mergeCell ref="A22:A29"/>
    <mergeCell ref="A8:A1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1-FC and Land Use Inputs</vt:lpstr>
      <vt:lpstr>2-Productivity Inputs</vt:lpstr>
      <vt:lpstr>RESULTS</vt:lpstr>
      <vt:lpstr>Productivity calcs</vt:lpstr>
      <vt:lpstr>Opt1_NOP Tool calcs</vt:lpstr>
      <vt:lpstr>Opt2_NOP Tool calcs</vt:lpstr>
      <vt:lpstr>FC Lookups</vt:lpstr>
      <vt:lpstr>NOP Tool lookups</vt:lpstr>
      <vt:lpstr>LoS Targets</vt:lpstr>
      <vt:lpstr>'1-FC and Land Use Inputs'!Print_Area</vt:lpstr>
      <vt:lpstr>'2-Productivity Inputs'!Print_Area</vt:lpstr>
      <vt:lpstr>'Opt1_NOP Tool calcs'!Print_Area</vt:lpstr>
      <vt:lpstr>'Opt2_NOP Tool calcs'!Print_Area</vt:lpstr>
      <vt:lpstr>RESULTS!Print_Area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jocel</dc:creator>
  <cp:lastModifiedBy>Rob Douglas-Jones</cp:lastModifiedBy>
  <cp:lastPrinted>2024-09-24T02:56:18Z</cp:lastPrinted>
  <dcterms:created xsi:type="dcterms:W3CDTF">2021-09-08T03:40:47Z</dcterms:created>
  <dcterms:modified xsi:type="dcterms:W3CDTF">2025-12-08T20:57:59Z</dcterms:modified>
</cp:coreProperties>
</file>